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 codeName="ThisWorkbook"/>
  <xr:revisionPtr revIDLastSave="40" documentId="11_5D42E6952A12A8CD7B0FF352DE48F54A0458B006" xr6:coauthVersionLast="46" xr6:coauthVersionMax="46" xr10:uidLastSave="{ABF77C4C-E8ED-446D-8B06-3A27ACBA738B}"/>
  <bookViews>
    <workbookView xWindow="-120" yWindow="-120" windowWidth="29040" windowHeight="15840" xr2:uid="{00000000-000D-0000-FFFF-FFFF00000000}"/>
  </bookViews>
  <sheets>
    <sheet name="古典積層理論" sheetId="1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5" l="1"/>
  <c r="I33" i="15" s="1"/>
  <c r="I25" i="15"/>
  <c r="I24" i="15"/>
  <c r="I23" i="15"/>
  <c r="I22" i="15"/>
  <c r="AG7" i="15"/>
  <c r="AF7" i="15"/>
  <c r="AE7" i="15"/>
  <c r="AD7" i="15"/>
  <c r="AC7" i="15"/>
  <c r="AB7" i="15"/>
  <c r="AA7" i="15"/>
  <c r="Z7" i="15"/>
  <c r="Y7" i="15"/>
  <c r="X7" i="15"/>
  <c r="AG6" i="15"/>
  <c r="AG8" i="15" s="1"/>
  <c r="AF6" i="15"/>
  <c r="AE6" i="15"/>
  <c r="AD6" i="15"/>
  <c r="AC6" i="15"/>
  <c r="AB6" i="15"/>
  <c r="AA6" i="15"/>
  <c r="Z6" i="15"/>
  <c r="Y6" i="15"/>
  <c r="Y9" i="15" s="1"/>
  <c r="X6" i="15"/>
  <c r="AG5" i="15"/>
  <c r="AF5" i="15"/>
  <c r="AE5" i="15"/>
  <c r="AD5" i="15"/>
  <c r="AC5" i="15"/>
  <c r="AB5" i="15"/>
  <c r="AA5" i="15"/>
  <c r="Z5" i="15"/>
  <c r="Y5" i="15"/>
  <c r="X5" i="15"/>
  <c r="AF8" i="15" l="1"/>
  <c r="X10" i="15"/>
  <c r="Z8" i="15"/>
  <c r="AA10" i="15"/>
  <c r="AB10" i="15"/>
  <c r="AC8" i="15"/>
  <c r="AE8" i="15"/>
  <c r="AD12" i="15"/>
  <c r="AA8" i="15"/>
  <c r="AE12" i="15"/>
  <c r="X9" i="15"/>
  <c r="AC11" i="15"/>
  <c r="AF13" i="15"/>
  <c r="AG13" i="15"/>
  <c r="Y10" i="15"/>
  <c r="AA9" i="15"/>
  <c r="Z10" i="15"/>
  <c r="X15" i="15"/>
  <c r="AB8" i="15"/>
  <c r="Y15" i="15"/>
  <c r="Z16" i="15"/>
  <c r="AA16" i="15"/>
  <c r="AB11" i="15"/>
  <c r="AD8" i="15"/>
  <c r="AF9" i="15"/>
  <c r="X8" i="15"/>
  <c r="Z9" i="15"/>
  <c r="AD11" i="15"/>
  <c r="AF12" i="15"/>
  <c r="X14" i="15"/>
  <c r="Z15" i="15"/>
  <c r="AB16" i="15"/>
  <c r="Y8" i="15"/>
  <c r="AC10" i="15"/>
  <c r="AE11" i="15"/>
  <c r="AG12" i="15"/>
  <c r="Y14" i="15"/>
  <c r="AA15" i="15"/>
  <c r="AC16" i="15"/>
  <c r="AB9" i="15"/>
  <c r="AD10" i="15"/>
  <c r="AF11" i="15"/>
  <c r="X13" i="15"/>
  <c r="Z14" i="15"/>
  <c r="AB15" i="15"/>
  <c r="AD16" i="15"/>
  <c r="AC9" i="15"/>
  <c r="AE10" i="15"/>
  <c r="AG11" i="15"/>
  <c r="Y13" i="15"/>
  <c r="AA14" i="15"/>
  <c r="AC15" i="15"/>
  <c r="AE16" i="15"/>
  <c r="AD9" i="15"/>
  <c r="AF10" i="15"/>
  <c r="X12" i="15"/>
  <c r="Z13" i="15"/>
  <c r="AB14" i="15"/>
  <c r="AD15" i="15"/>
  <c r="AF16" i="15"/>
  <c r="AE9" i="15"/>
  <c r="AG10" i="15"/>
  <c r="Y12" i="15"/>
  <c r="AA13" i="15"/>
  <c r="AC14" i="15"/>
  <c r="AE15" i="15"/>
  <c r="AG16" i="15"/>
  <c r="X11" i="15"/>
  <c r="Z12" i="15"/>
  <c r="AB13" i="15"/>
  <c r="AD14" i="15"/>
  <c r="AF15" i="15"/>
  <c r="AG9" i="15"/>
  <c r="Y11" i="15"/>
  <c r="AA12" i="15"/>
  <c r="AC13" i="15"/>
  <c r="AE14" i="15"/>
  <c r="AG15" i="15"/>
  <c r="Z11" i="15"/>
  <c r="AB12" i="15"/>
  <c r="AD13" i="15"/>
  <c r="AF14" i="15"/>
  <c r="X16" i="15"/>
  <c r="AA11" i="15"/>
  <c r="AC12" i="15"/>
  <c r="AE13" i="15"/>
  <c r="AG14" i="15"/>
  <c r="Y16" i="15"/>
  <c r="I17" i="15" l="1"/>
  <c r="O7" i="15" s="1"/>
  <c r="I7" i="15"/>
  <c r="I20" i="15"/>
  <c r="I16" i="15"/>
  <c r="O6" i="15" s="1"/>
  <c r="I10" i="15"/>
  <c r="I12" i="15"/>
  <c r="I6" i="15"/>
  <c r="I18" i="15"/>
  <c r="P7" i="15" s="1"/>
  <c r="I11" i="15"/>
  <c r="I9" i="15"/>
  <c r="I21" i="15"/>
  <c r="Q8" i="15" s="1"/>
  <c r="I8" i="15"/>
  <c r="I14" i="15"/>
  <c r="I19" i="15"/>
  <c r="I4" i="15"/>
  <c r="I5" i="15"/>
  <c r="I13" i="15"/>
  <c r="I15" i="15"/>
  <c r="P6" i="15" l="1"/>
  <c r="Q6" i="15"/>
  <c r="O8" i="15"/>
  <c r="N4" i="15"/>
  <c r="M21" i="15"/>
  <c r="L21" i="15"/>
  <c r="N20" i="15"/>
  <c r="N19" i="15"/>
  <c r="N3" i="15"/>
  <c r="M5" i="15"/>
  <c r="L5" i="15"/>
  <c r="N21" i="15"/>
  <c r="N5" i="15"/>
  <c r="M6" i="15"/>
  <c r="P3" i="15"/>
  <c r="L7" i="15"/>
  <c r="O4" i="15"/>
  <c r="M7" i="15"/>
  <c r="P4" i="15"/>
  <c r="L6" i="15"/>
  <c r="O3" i="15"/>
  <c r="N8" i="15"/>
  <c r="Q5" i="15"/>
  <c r="M4" i="15"/>
  <c r="M20" i="15"/>
  <c r="M8" i="15"/>
  <c r="P5" i="15"/>
  <c r="N7" i="15"/>
  <c r="Q4" i="15"/>
  <c r="N6" i="15"/>
  <c r="L8" i="15"/>
  <c r="Q3" i="15"/>
  <c r="O5" i="15"/>
  <c r="L19" i="15"/>
  <c r="L3" i="15"/>
  <c r="Q7" i="15"/>
  <c r="P8" i="15"/>
  <c r="L4" i="15"/>
  <c r="L20" i="15"/>
  <c r="M19" i="15"/>
  <c r="M3" i="15"/>
  <c r="L11" i="15" l="1" a="1"/>
  <c r="P19" i="15" a="1"/>
  <c r="P20" i="15" l="1"/>
  <c r="R19" i="15"/>
  <c r="Q19" i="15"/>
  <c r="P19" i="15"/>
  <c r="I26" i="15" s="1"/>
  <c r="R21" i="15"/>
  <c r="I27" i="15" s="1"/>
  <c r="Q21" i="15"/>
  <c r="P21" i="15"/>
  <c r="R20" i="15"/>
  <c r="Q20" i="15"/>
  <c r="P11" i="15"/>
  <c r="L11" i="15"/>
  <c r="D21" i="15" s="1" a="1"/>
  <c r="O12" i="15"/>
  <c r="P13" i="15"/>
  <c r="O15" i="15"/>
  <c r="N12" i="15"/>
  <c r="M16" i="15"/>
  <c r="O13" i="15"/>
  <c r="Q16" i="15"/>
  <c r="M14" i="15"/>
  <c r="O14" i="15"/>
  <c r="O11" i="15"/>
  <c r="Q14" i="15"/>
  <c r="M12" i="15"/>
  <c r="L16" i="15"/>
  <c r="N15" i="15"/>
  <c r="Q12" i="15"/>
  <c r="L13" i="15"/>
  <c r="L14" i="15"/>
  <c r="N13" i="15"/>
  <c r="N14" i="15"/>
  <c r="L12" i="15"/>
  <c r="N11" i="15"/>
  <c r="P16" i="15"/>
  <c r="Q15" i="15"/>
  <c r="M15" i="15"/>
  <c r="P14" i="15"/>
  <c r="Q13" i="15"/>
  <c r="M13" i="15"/>
  <c r="P12" i="15"/>
  <c r="Q11" i="15"/>
  <c r="M11" i="15"/>
  <c r="N16" i="15"/>
  <c r="P15" i="15"/>
  <c r="L15" i="15"/>
  <c r="O16" i="15"/>
  <c r="D26" i="15" l="1"/>
  <c r="D25" i="15"/>
  <c r="D24" i="15"/>
  <c r="D22" i="15"/>
  <c r="D21" i="15"/>
  <c r="D23" i="15"/>
  <c r="AC18" i="15" l="1"/>
  <c r="X17" i="15"/>
  <c r="AC17" i="15"/>
  <c r="Z18" i="15"/>
  <c r="AD18" i="15"/>
  <c r="AA17" i="15"/>
  <c r="AB19" i="15"/>
  <c r="X19" i="15"/>
  <c r="AF19" i="15"/>
  <c r="AE19" i="15"/>
  <c r="AG19" i="15"/>
  <c r="AB17" i="15"/>
  <c r="AF18" i="15"/>
  <c r="AE17" i="15"/>
  <c r="AD17" i="15"/>
  <c r="AD19" i="15"/>
  <c r="Y18" i="15"/>
  <c r="Z19" i="15"/>
  <c r="AE18" i="15"/>
  <c r="Y19" i="15"/>
  <c r="AG17" i="15"/>
  <c r="Y17" i="15"/>
  <c r="AA19" i="15"/>
  <c r="Z17" i="15"/>
  <c r="AC19" i="15"/>
  <c r="X18" i="15"/>
  <c r="AA18" i="15"/>
  <c r="AG18" i="15"/>
  <c r="AB18" i="15"/>
  <c r="AF17" i="15"/>
  <c r="Y21" i="15" l="1"/>
  <c r="Y24" i="15" s="1"/>
  <c r="Z20" i="15"/>
  <c r="Z23" i="15" s="1"/>
  <c r="Z22" i="15"/>
  <c r="Z25" i="15" s="1"/>
  <c r="Z21" i="15"/>
  <c r="Z24" i="15" s="1"/>
  <c r="AB22" i="15"/>
  <c r="AB25" i="15" s="1"/>
  <c r="AB21" i="15"/>
  <c r="AB24" i="15" s="1"/>
  <c r="Y20" i="15"/>
  <c r="Y23" i="15" s="1"/>
  <c r="Y22" i="15"/>
  <c r="Y25" i="15" s="1"/>
  <c r="AG20" i="15"/>
  <c r="AG23" i="15" s="1"/>
  <c r="AG22" i="15"/>
  <c r="AG25" i="15" s="1"/>
  <c r="AG21" i="15"/>
  <c r="AG24" i="15" s="1"/>
  <c r="AE20" i="15"/>
  <c r="AE23" i="15" s="1"/>
  <c r="AF20" i="15"/>
  <c r="AF23" i="15" s="1"/>
  <c r="AF22" i="15"/>
  <c r="AF25" i="15" s="1"/>
  <c r="AF21" i="15"/>
  <c r="AF24" i="15" s="1"/>
  <c r="AA22" i="15"/>
  <c r="AA25" i="15" s="1"/>
  <c r="AA20" i="15"/>
  <c r="AA23" i="15" s="1"/>
  <c r="AA21" i="15"/>
  <c r="AA24" i="15" s="1"/>
  <c r="AB20" i="15"/>
  <c r="AB23" i="15" s="1"/>
  <c r="AD21" i="15"/>
  <c r="AD24" i="15" s="1"/>
  <c r="AD20" i="15"/>
  <c r="AD23" i="15" s="1"/>
  <c r="AD22" i="15"/>
  <c r="AD25" i="15" s="1"/>
  <c r="AC21" i="15"/>
  <c r="AC24" i="15" s="1"/>
  <c r="AC22" i="15"/>
  <c r="AC25" i="15" s="1"/>
  <c r="AC20" i="15"/>
  <c r="AC23" i="15" s="1"/>
  <c r="X20" i="15"/>
  <c r="X23" i="15" s="1"/>
  <c r="AE22" i="15"/>
  <c r="AE25" i="15" s="1"/>
  <c r="AE21" i="15"/>
  <c r="AE24" i="15" s="1"/>
  <c r="X22" i="15"/>
  <c r="X25" i="15" s="1"/>
  <c r="X21" i="15"/>
  <c r="X24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22" authorId="0" shapeId="0" xr:uid="{04946781-70B2-48C5-975B-5A50A83A1640}">
      <text>
        <r>
          <rPr>
            <b/>
            <sz val="9"/>
            <color indexed="81"/>
            <rFont val="MS P ゴシック"/>
            <family val="3"/>
            <charset val="128"/>
          </rPr>
          <t>Author:</t>
        </r>
        <r>
          <rPr>
            <sz val="9"/>
            <color indexed="81"/>
            <rFont val="MS P ゴシック"/>
            <family val="3"/>
            <charset val="128"/>
          </rPr>
          <t xml:space="preserve">
引張の値を使用．
圧縮の値を使用したほうがいいのか？</t>
        </r>
      </text>
    </comment>
  </commentList>
</comments>
</file>

<file path=xl/sharedStrings.xml><?xml version="1.0" encoding="utf-8"?>
<sst xmlns="http://schemas.openxmlformats.org/spreadsheetml/2006/main" count="187" uniqueCount="131">
  <si>
    <t>名</t>
    <rPh sb="0" eb="1">
      <t>メイ</t>
    </rPh>
    <phoneticPr fontId="1"/>
  </si>
  <si>
    <t>記号</t>
    <rPh sb="0" eb="2">
      <t>キゴウ</t>
    </rPh>
    <phoneticPr fontId="1"/>
  </si>
  <si>
    <t>値</t>
    <rPh sb="0" eb="1">
      <t>アタイ</t>
    </rPh>
    <phoneticPr fontId="1"/>
  </si>
  <si>
    <t>単位</t>
    <rPh sb="0" eb="2">
      <t>タンイ</t>
    </rPh>
    <phoneticPr fontId="1"/>
  </si>
  <si>
    <t>-</t>
    <phoneticPr fontId="1"/>
  </si>
  <si>
    <t>m</t>
    <phoneticPr fontId="1"/>
  </si>
  <si>
    <t>GPa</t>
    <phoneticPr fontId="1"/>
  </si>
  <si>
    <t>厚さ</t>
    <rPh sb="0" eb="1">
      <t>アツ</t>
    </rPh>
    <phoneticPr fontId="1"/>
  </si>
  <si>
    <t>積層数</t>
    <rPh sb="0" eb="2">
      <t>セキソウ</t>
    </rPh>
    <rPh sb="2" eb="3">
      <t>スウ</t>
    </rPh>
    <phoneticPr fontId="1"/>
  </si>
  <si>
    <t>GPa</t>
    <phoneticPr fontId="1"/>
  </si>
  <si>
    <t>A16</t>
    <phoneticPr fontId="1"/>
  </si>
  <si>
    <t>→</t>
    <phoneticPr fontId="1"/>
  </si>
  <si>
    <t>D12</t>
    <phoneticPr fontId="1"/>
  </si>
  <si>
    <t>D22</t>
    <phoneticPr fontId="1"/>
  </si>
  <si>
    <t>入門複合材料の力学ｐ．96</t>
    <rPh sb="0" eb="2">
      <t>ニュウモン</t>
    </rPh>
    <rPh sb="2" eb="4">
      <t>フクゴウ</t>
    </rPh>
    <rPh sb="4" eb="6">
      <t>ザイリョウ</t>
    </rPh>
    <rPh sb="7" eb="9">
      <t>リキガク</t>
    </rPh>
    <phoneticPr fontId="1"/>
  </si>
  <si>
    <t>Q11</t>
    <phoneticPr fontId="1"/>
  </si>
  <si>
    <t>Q12</t>
    <phoneticPr fontId="1"/>
  </si>
  <si>
    <t>Q22</t>
    <phoneticPr fontId="1"/>
  </si>
  <si>
    <t>Q66</t>
    <phoneticPr fontId="1"/>
  </si>
  <si>
    <t>εx0</t>
    <phoneticPr fontId="1"/>
  </si>
  <si>
    <t>εy0</t>
    <phoneticPr fontId="1"/>
  </si>
  <si>
    <t>最大応力説</t>
    <rPh sb="0" eb="2">
      <t>サイダイ</t>
    </rPh>
    <rPh sb="2" eb="4">
      <t>オウリョク</t>
    </rPh>
    <rPh sb="4" eb="5">
      <t>セツ</t>
    </rPh>
    <phoneticPr fontId="1"/>
  </si>
  <si>
    <t>繊維方向</t>
    <rPh sb="0" eb="2">
      <t>センイ</t>
    </rPh>
    <rPh sb="2" eb="4">
      <t>ホウコウ</t>
    </rPh>
    <phoneticPr fontId="1"/>
  </si>
  <si>
    <t>γxy0</t>
    <phoneticPr fontId="1"/>
  </si>
  <si>
    <t>繊維と直角方向</t>
    <rPh sb="0" eb="2">
      <t>センイ</t>
    </rPh>
    <rPh sb="3" eb="5">
      <t>チョッカク</t>
    </rPh>
    <rPh sb="5" eb="7">
      <t>ホウコウ</t>
    </rPh>
    <phoneticPr fontId="1"/>
  </si>
  <si>
    <t>せん断方向</t>
    <rPh sb="2" eb="3">
      <t>ダン</t>
    </rPh>
    <rPh sb="3" eb="5">
      <t>ホウコウ</t>
    </rPh>
    <phoneticPr fontId="1"/>
  </si>
  <si>
    <t>k</t>
    <phoneticPr fontId="1"/>
  </si>
  <si>
    <t>z(k)^2-z(k-1)^2</t>
    <phoneticPr fontId="1"/>
  </si>
  <si>
    <t>z(k)^3-z(k-1)^3</t>
    <phoneticPr fontId="1"/>
  </si>
  <si>
    <t>Ex</t>
    <phoneticPr fontId="1"/>
  </si>
  <si>
    <t>GPa</t>
    <phoneticPr fontId="1"/>
  </si>
  <si>
    <t>Gxy</t>
    <phoneticPr fontId="1"/>
  </si>
  <si>
    <t>νxy</t>
    <phoneticPr fontId="1"/>
  </si>
  <si>
    <t>Q26</t>
    <phoneticPr fontId="1"/>
  </si>
  <si>
    <t>m/ply</t>
    <phoneticPr fontId="1"/>
  </si>
  <si>
    <t>A11</t>
    <phoneticPr fontId="1"/>
  </si>
  <si>
    <t>[N/m]</t>
    <phoneticPr fontId="1"/>
  </si>
  <si>
    <t>A12</t>
    <phoneticPr fontId="1"/>
  </si>
  <si>
    <t>A22</t>
    <phoneticPr fontId="1"/>
  </si>
  <si>
    <t>A26</t>
    <phoneticPr fontId="1"/>
  </si>
  <si>
    <t>A66</t>
    <phoneticPr fontId="1"/>
  </si>
  <si>
    <t>B11</t>
    <phoneticPr fontId="1"/>
  </si>
  <si>
    <t xml:space="preserve">B12 </t>
    <phoneticPr fontId="1"/>
  </si>
  <si>
    <t>[N]</t>
  </si>
  <si>
    <t>B22</t>
    <phoneticPr fontId="1"/>
  </si>
  <si>
    <t>B16</t>
    <phoneticPr fontId="1"/>
  </si>
  <si>
    <t>B26</t>
    <phoneticPr fontId="1"/>
  </si>
  <si>
    <t>B66</t>
    <phoneticPr fontId="1"/>
  </si>
  <si>
    <t xml:space="preserve">D11 </t>
    <phoneticPr fontId="1"/>
  </si>
  <si>
    <t>[N*m]</t>
  </si>
  <si>
    <t>D16</t>
    <phoneticPr fontId="1"/>
  </si>
  <si>
    <t>D26</t>
    <phoneticPr fontId="1"/>
  </si>
  <si>
    <t>D66</t>
    <phoneticPr fontId="1"/>
  </si>
  <si>
    <t>-</t>
    <phoneticPr fontId="1"/>
  </si>
  <si>
    <t>-</t>
    <phoneticPr fontId="1"/>
  </si>
  <si>
    <t>カップリング係数</t>
    <rPh sb="6" eb="8">
      <t>ケイスウ</t>
    </rPh>
    <phoneticPr fontId="1"/>
  </si>
  <si>
    <t>面内剛性係数</t>
    <rPh sb="0" eb="2">
      <t>メンナイ</t>
    </rPh>
    <rPh sb="2" eb="4">
      <t>ゴウセイ</t>
    </rPh>
    <rPh sb="4" eb="6">
      <t>ケイスウ</t>
    </rPh>
    <phoneticPr fontId="1"/>
  </si>
  <si>
    <t>面外剛性係数</t>
    <rPh sb="0" eb="1">
      <t>メン</t>
    </rPh>
    <rPh sb="1" eb="2">
      <t>ガイ</t>
    </rPh>
    <rPh sb="2" eb="4">
      <t>ゴウセイ</t>
    </rPh>
    <rPh sb="4" eb="6">
      <t>ケイスウ</t>
    </rPh>
    <phoneticPr fontId="1"/>
  </si>
  <si>
    <t>Nxy</t>
    <phoneticPr fontId="1"/>
  </si>
  <si>
    <t>Ny</t>
    <phoneticPr fontId="1"/>
  </si>
  <si>
    <t>Nx</t>
    <phoneticPr fontId="1"/>
  </si>
  <si>
    <t>Mx</t>
    <phoneticPr fontId="1"/>
  </si>
  <si>
    <t>My</t>
    <phoneticPr fontId="1"/>
  </si>
  <si>
    <t>Mxy</t>
    <phoneticPr fontId="1"/>
  </si>
  <si>
    <t>剛性行列</t>
    <rPh sb="0" eb="2">
      <t>ゴウセイ</t>
    </rPh>
    <rPh sb="2" eb="4">
      <t>ギョウレツ</t>
    </rPh>
    <phoneticPr fontId="1"/>
  </si>
  <si>
    <t>剛性行列の逆行列</t>
    <rPh sb="0" eb="2">
      <t>ゴウセイ</t>
    </rPh>
    <rPh sb="2" eb="4">
      <t>ギョウレツ</t>
    </rPh>
    <rPh sb="5" eb="8">
      <t>ギャクギョウレツ</t>
    </rPh>
    <phoneticPr fontId="1"/>
  </si>
  <si>
    <t xml:space="preserve">χx </t>
    <phoneticPr fontId="1"/>
  </si>
  <si>
    <t>χy</t>
    <phoneticPr fontId="1"/>
  </si>
  <si>
    <t>χxy</t>
    <phoneticPr fontId="1"/>
  </si>
  <si>
    <t>ひずみ</t>
    <phoneticPr fontId="1"/>
  </si>
  <si>
    <t>合力</t>
    <rPh sb="0" eb="2">
      <t>ゴウリョク</t>
    </rPh>
    <phoneticPr fontId="1"/>
  </si>
  <si>
    <t>合モーメント</t>
    <rPh sb="0" eb="1">
      <t>ゴウ</t>
    </rPh>
    <phoneticPr fontId="1"/>
  </si>
  <si>
    <t>1/m</t>
    <phoneticPr fontId="1"/>
  </si>
  <si>
    <t>N/m</t>
    <phoneticPr fontId="1"/>
  </si>
  <si>
    <t>N</t>
    <phoneticPr fontId="1"/>
  </si>
  <si>
    <t>積層板全体の剛性行列</t>
    <rPh sb="0" eb="3">
      <t>セキソウバン</t>
    </rPh>
    <rPh sb="3" eb="5">
      <t>ゼンタイ</t>
    </rPh>
    <rPh sb="6" eb="8">
      <t>ゴウセイ</t>
    </rPh>
    <rPh sb="8" eb="10">
      <t>ギョウレツ</t>
    </rPh>
    <phoneticPr fontId="1"/>
  </si>
  <si>
    <t>ply</t>
    <phoneticPr fontId="1"/>
  </si>
  <si>
    <t>mm</t>
    <phoneticPr fontId="1"/>
  </si>
  <si>
    <t>t</t>
    <phoneticPr fontId="1"/>
  </si>
  <si>
    <t>n</t>
    <phoneticPr fontId="1"/>
  </si>
  <si>
    <t>相当弾性係数</t>
    <rPh sb="0" eb="2">
      <t>ソウトウ</t>
    </rPh>
    <rPh sb="2" eb="4">
      <t>ダンセイ</t>
    </rPh>
    <rPh sb="4" eb="6">
      <t>ケイスウ</t>
    </rPh>
    <phoneticPr fontId="1"/>
  </si>
  <si>
    <t>θ</t>
    <phoneticPr fontId="1"/>
  </si>
  <si>
    <t>z(k)</t>
    <phoneticPr fontId="1"/>
  </si>
  <si>
    <t>z(k-1)</t>
    <phoneticPr fontId="1"/>
  </si>
  <si>
    <t>z(k)-z(k-1)</t>
    <phoneticPr fontId="1"/>
  </si>
  <si>
    <t>Q16</t>
    <phoneticPr fontId="1"/>
  </si>
  <si>
    <t>Q66</t>
    <phoneticPr fontId="1"/>
  </si>
  <si>
    <t xml:space="preserve">σx </t>
    <phoneticPr fontId="1"/>
  </si>
  <si>
    <t>σy</t>
    <phoneticPr fontId="1"/>
  </si>
  <si>
    <t>τxy</t>
    <phoneticPr fontId="1"/>
  </si>
  <si>
    <t>σL</t>
    <phoneticPr fontId="1"/>
  </si>
  <si>
    <t>σT</t>
    <phoneticPr fontId="1"/>
  </si>
  <si>
    <t xml:space="preserve">τLT </t>
    <phoneticPr fontId="1"/>
  </si>
  <si>
    <t>層番号</t>
    <rPh sb="0" eb="1">
      <t>ソウ</t>
    </rPh>
    <rPh sb="1" eb="3">
      <t>バンゴウ</t>
    </rPh>
    <phoneticPr fontId="1"/>
  </si>
  <si>
    <t>積層角</t>
    <rPh sb="0" eb="2">
      <t>セキソウ</t>
    </rPh>
    <rPh sb="2" eb="3">
      <t>カク</t>
    </rPh>
    <phoneticPr fontId="1"/>
  </si>
  <si>
    <t>応力</t>
    <rPh sb="0" eb="2">
      <t>オウリョク</t>
    </rPh>
    <phoneticPr fontId="1"/>
  </si>
  <si>
    <t>繊維方向の応力</t>
    <rPh sb="0" eb="2">
      <t>センイ</t>
    </rPh>
    <rPh sb="2" eb="4">
      <t>ホウコウ</t>
    </rPh>
    <rPh sb="5" eb="7">
      <t>オウリョク</t>
    </rPh>
    <phoneticPr fontId="1"/>
  </si>
  <si>
    <t>弾性係数</t>
    <rPh sb="0" eb="2">
      <t>ダンセイ</t>
    </rPh>
    <rPh sb="2" eb="4">
      <t>ケイスウ</t>
    </rPh>
    <phoneticPr fontId="1"/>
  </si>
  <si>
    <t>全周</t>
    <rPh sb="0" eb="2">
      <t>ゼンシュウ</t>
    </rPh>
    <phoneticPr fontId="1"/>
  </si>
  <si>
    <t>オビ</t>
    <phoneticPr fontId="1"/>
  </si>
  <si>
    <t>-</t>
  </si>
  <si>
    <t>名</t>
  </si>
  <si>
    <t>記号</t>
  </si>
  <si>
    <t>値</t>
  </si>
  <si>
    <t>単位</t>
  </si>
  <si>
    <t>GPa</t>
  </si>
  <si>
    <t>厚さ</t>
  </si>
  <si>
    <t>mm/ply</t>
  </si>
  <si>
    <t>Mechanical Peoperties</t>
  </si>
  <si>
    <t>強度</t>
  </si>
  <si>
    <t>FLt</t>
  </si>
  <si>
    <t>繊維方向・引張</t>
  </si>
  <si>
    <t>ヤング率</t>
  </si>
  <si>
    <t>ELt</t>
  </si>
  <si>
    <t>ポアソン比</t>
  </si>
  <si>
    <t>νLt</t>
  </si>
  <si>
    <t>FTt</t>
  </si>
  <si>
    <t>直交方向・引張</t>
  </si>
  <si>
    <t>ETt</t>
  </si>
  <si>
    <t>νTt</t>
  </si>
  <si>
    <t>FLc</t>
  </si>
  <si>
    <t>繊維方向・圧縮</t>
  </si>
  <si>
    <t>ELc</t>
  </si>
  <si>
    <t>νLc</t>
  </si>
  <si>
    <t>FTc</t>
  </si>
  <si>
    <t>直交方向・圧縮</t>
  </si>
  <si>
    <t>ETc</t>
  </si>
  <si>
    <t>FLT</t>
  </si>
  <si>
    <t>せん断</t>
  </si>
  <si>
    <t>GLT</t>
  </si>
  <si>
    <t>層間せん断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</si>
</sst>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_ ;[Red]\-0.000\ "/>
    <numFmt numFmtId="177" formatCode="0_ ;[Red]\-0\ "/>
    <numFmt numFmtId="178" formatCode="0.0.E+00"/>
    <numFmt numFmtId="179" formatCode="0.00_ "/>
    <numFmt numFmtId="180" formatCode="0.E+00"/>
    <numFmt numFmtId="181" formatCode="0.00.E+00"/>
  </numFmts>
  <fonts count="2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u/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u/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44">
    <xf numFmtId="0" fontId="0" fillId="0" borderId="0">
      <alignment vertical="center"/>
    </xf>
    <xf numFmtId="0" fontId="4" fillId="0" borderId="0">
      <alignment vertical="center"/>
    </xf>
    <xf numFmtId="0" fontId="8" fillId="0" borderId="0"/>
    <xf numFmtId="0" fontId="10" fillId="0" borderId="0" applyNumberFormat="0" applyFill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26" applyNumberFormat="0" applyAlignment="0" applyProtection="0">
      <alignment vertical="center"/>
    </xf>
    <xf numFmtId="0" fontId="18" fillId="8" borderId="27" applyNumberFormat="0" applyAlignment="0" applyProtection="0">
      <alignment vertical="center"/>
    </xf>
    <xf numFmtId="0" fontId="19" fillId="8" borderId="26" applyNumberFormat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1" fillId="9" borderId="2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0" borderId="30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176" fontId="0" fillId="0" borderId="9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2" xfId="0" applyNumberFormat="1" applyBorder="1">
      <alignment vertical="center"/>
    </xf>
    <xf numFmtId="176" fontId="0" fillId="0" borderId="6" xfId="0" applyNumberFormat="1" applyBorder="1">
      <alignment vertical="center"/>
    </xf>
    <xf numFmtId="176" fontId="0" fillId="0" borderId="7" xfId="0" applyNumberFormat="1" applyBorder="1">
      <alignment vertical="center"/>
    </xf>
    <xf numFmtId="176" fontId="0" fillId="0" borderId="8" xfId="0" applyNumberFormat="1" applyBorder="1">
      <alignment vertical="center"/>
    </xf>
    <xf numFmtId="177" fontId="0" fillId="2" borderId="9" xfId="0" applyNumberFormat="1" applyFill="1" applyBorder="1">
      <alignment vertical="center"/>
    </xf>
    <xf numFmtId="177" fontId="0" fillId="0" borderId="9" xfId="0" applyNumberFormat="1" applyBorder="1">
      <alignment vertical="center"/>
    </xf>
    <xf numFmtId="176" fontId="0" fillId="3" borderId="9" xfId="0" applyNumberFormat="1" applyFill="1" applyBorder="1">
      <alignment vertical="center"/>
    </xf>
    <xf numFmtId="177" fontId="0" fillId="3" borderId="9" xfId="0" applyNumberFormat="1" applyFill="1" applyBorder="1">
      <alignment vertical="center"/>
    </xf>
    <xf numFmtId="176" fontId="0" fillId="0" borderId="15" xfId="0" applyNumberFormat="1" applyBorder="1">
      <alignment vertical="center"/>
    </xf>
    <xf numFmtId="176" fontId="0" fillId="0" borderId="17" xfId="0" applyNumberFormat="1" applyBorder="1">
      <alignment vertical="center"/>
    </xf>
    <xf numFmtId="176" fontId="0" fillId="0" borderId="15" xfId="0" applyNumberFormat="1" applyBorder="1" applyAlignment="1">
      <alignment horizontal="right" vertical="center"/>
    </xf>
    <xf numFmtId="176" fontId="0" fillId="3" borderId="17" xfId="0" applyNumberFormat="1" applyFill="1" applyBorder="1">
      <alignment vertical="center"/>
    </xf>
    <xf numFmtId="176" fontId="0" fillId="3" borderId="15" xfId="0" applyNumberFormat="1" applyFill="1" applyBorder="1">
      <alignment vertical="center"/>
    </xf>
    <xf numFmtId="176" fontId="0" fillId="0" borderId="9" xfId="0" applyNumberFormat="1" applyBorder="1" applyAlignment="1">
      <alignment horizontal="right" vertical="center"/>
    </xf>
    <xf numFmtId="177" fontId="0" fillId="0" borderId="15" xfId="0" applyNumberFormat="1" applyBorder="1" applyAlignment="1">
      <alignment horizontal="right" vertical="center"/>
    </xf>
    <xf numFmtId="177" fontId="0" fillId="0" borderId="9" xfId="0" applyNumberFormat="1" applyBorder="1" applyAlignment="1">
      <alignment horizontal="right" vertical="center"/>
    </xf>
    <xf numFmtId="177" fontId="0" fillId="0" borderId="17" xfId="0" applyNumberFormat="1" applyBorder="1" applyAlignment="1">
      <alignment horizontal="right" vertical="center"/>
    </xf>
    <xf numFmtId="176" fontId="0" fillId="0" borderId="17" xfId="0" applyNumberFormat="1" applyBorder="1" applyAlignment="1">
      <alignment horizontal="right" vertical="center"/>
    </xf>
    <xf numFmtId="177" fontId="0" fillId="0" borderId="3" xfId="0" applyNumberFormat="1" applyBorder="1">
      <alignment vertical="center"/>
    </xf>
    <xf numFmtId="177" fontId="0" fillId="0" borderId="4" xfId="0" applyNumberFormat="1" applyBorder="1">
      <alignment vertical="center"/>
    </xf>
    <xf numFmtId="177" fontId="0" fillId="0" borderId="5" xfId="0" applyNumberFormat="1" applyBorder="1">
      <alignment vertical="center"/>
    </xf>
    <xf numFmtId="179" fontId="3" fillId="0" borderId="9" xfId="0" applyNumberFormat="1" applyFont="1" applyBorder="1" applyAlignment="1">
      <alignment horizontal="left" vertical="center"/>
    </xf>
    <xf numFmtId="176" fontId="3" fillId="0" borderId="9" xfId="0" applyNumberFormat="1" applyFont="1" applyBorder="1" applyAlignment="1">
      <alignment horizontal="left" vertical="center"/>
    </xf>
    <xf numFmtId="176" fontId="0" fillId="0" borderId="7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2" fillId="3" borderId="17" xfId="0" applyNumberFormat="1" applyFont="1" applyFill="1" applyBorder="1">
      <alignment vertical="center"/>
    </xf>
    <xf numFmtId="176" fontId="0" fillId="0" borderId="18" xfId="0" applyNumberFormat="1" applyBorder="1">
      <alignment vertical="center"/>
    </xf>
    <xf numFmtId="176" fontId="0" fillId="0" borderId="20" xfId="0" applyNumberFormat="1" applyBorder="1">
      <alignment vertical="center"/>
    </xf>
    <xf numFmtId="179" fontId="3" fillId="0" borderId="17" xfId="0" applyNumberFormat="1" applyFont="1" applyBorder="1" applyAlignment="1">
      <alignment horizontal="left" vertical="center"/>
    </xf>
    <xf numFmtId="176" fontId="3" fillId="0" borderId="17" xfId="0" applyNumberFormat="1" applyFont="1" applyBorder="1">
      <alignment vertical="center"/>
    </xf>
    <xf numFmtId="176" fontId="5" fillId="0" borderId="9" xfId="0" applyNumberFormat="1" applyFont="1" applyBorder="1" applyAlignment="1">
      <alignment horizontal="left" vertical="center"/>
    </xf>
    <xf numFmtId="176" fontId="5" fillId="0" borderId="15" xfId="0" applyNumberFormat="1" applyFont="1" applyBorder="1" applyAlignment="1">
      <alignment horizontal="left" vertical="center"/>
    </xf>
    <xf numFmtId="176" fontId="3" fillId="0" borderId="17" xfId="0" applyNumberFormat="1" applyFont="1" applyBorder="1" applyAlignment="1">
      <alignment horizontal="left" vertical="center"/>
    </xf>
    <xf numFmtId="176" fontId="0" fillId="0" borderId="7" xfId="0" applyNumberFormat="1" applyBorder="1" applyAlignment="1">
      <alignment horizontal="right" vertical="center"/>
    </xf>
    <xf numFmtId="176" fontId="6" fillId="0" borderId="9" xfId="0" applyNumberFormat="1" applyFont="1" applyBorder="1" applyAlignment="1">
      <alignment horizontal="left" vertical="center"/>
    </xf>
    <xf numFmtId="176" fontId="7" fillId="0" borderId="9" xfId="0" applyNumberFormat="1" applyFont="1" applyBorder="1" applyAlignment="1">
      <alignment horizontal="left" vertical="center"/>
    </xf>
    <xf numFmtId="176" fontId="0" fillId="0" borderId="11" xfId="0" applyNumberFormat="1" applyBorder="1">
      <alignment vertical="center"/>
    </xf>
    <xf numFmtId="176" fontId="5" fillId="0" borderId="11" xfId="0" applyNumberFormat="1" applyFont="1" applyBorder="1" applyAlignment="1">
      <alignment horizontal="left" vertical="center"/>
    </xf>
    <xf numFmtId="176" fontId="0" fillId="0" borderId="11" xfId="0" applyNumberFormat="1" applyBorder="1" applyAlignment="1">
      <alignment horizontal="right" vertical="center"/>
    </xf>
    <xf numFmtId="177" fontId="0" fillId="0" borderId="20" xfId="0" applyNumberFormat="1" applyBorder="1" applyAlignment="1">
      <alignment horizontal="right" vertical="center"/>
    </xf>
    <xf numFmtId="176" fontId="6" fillId="0" borderId="17" xfId="0" applyNumberFormat="1" applyFont="1" applyBorder="1" applyAlignment="1">
      <alignment horizontal="left" vertical="center"/>
    </xf>
    <xf numFmtId="176" fontId="0" fillId="0" borderId="0" xfId="0" applyNumberFormat="1" applyBorder="1">
      <alignment vertical="center"/>
    </xf>
    <xf numFmtId="176" fontId="0" fillId="0" borderId="0" xfId="0" applyNumberFormat="1" applyFill="1" applyBorder="1">
      <alignment vertical="center"/>
    </xf>
    <xf numFmtId="180" fontId="0" fillId="0" borderId="9" xfId="0" applyNumberFormat="1" applyBorder="1" applyAlignment="1">
      <alignment horizontal="right" vertical="center"/>
    </xf>
    <xf numFmtId="180" fontId="0" fillId="0" borderId="17" xfId="0" applyNumberFormat="1" applyBorder="1" applyAlignment="1">
      <alignment horizontal="right" vertical="center"/>
    </xf>
    <xf numFmtId="177" fontId="0" fillId="2" borderId="9" xfId="0" applyNumberFormat="1" applyFill="1" applyBorder="1" applyAlignment="1">
      <alignment horizontal="right" vertical="center"/>
    </xf>
    <xf numFmtId="176" fontId="0" fillId="0" borderId="13" xfId="0" applyNumberFormat="1" applyBorder="1">
      <alignment vertical="center"/>
    </xf>
    <xf numFmtId="177" fontId="0" fillId="0" borderId="0" xfId="0" applyNumberFormat="1" applyBorder="1">
      <alignment vertical="center"/>
    </xf>
    <xf numFmtId="181" fontId="0" fillId="0" borderId="9" xfId="0" applyNumberFormat="1" applyBorder="1">
      <alignment vertical="center"/>
    </xf>
    <xf numFmtId="176" fontId="0" fillId="0" borderId="0" xfId="0" applyNumberFormat="1" applyFill="1" applyBorder="1" applyAlignment="1">
      <alignment vertical="center"/>
    </xf>
    <xf numFmtId="176" fontId="0" fillId="0" borderId="0" xfId="0" applyNumberFormat="1" applyBorder="1" applyAlignment="1">
      <alignment horizontal="right" vertical="center"/>
    </xf>
    <xf numFmtId="176" fontId="0" fillId="0" borderId="0" xfId="0" applyNumberFormat="1" applyBorder="1" applyAlignment="1">
      <alignment horizontal="center" vertical="center"/>
    </xf>
    <xf numFmtId="176" fontId="0" fillId="0" borderId="18" xfId="0" applyNumberFormat="1" applyBorder="1" applyAlignment="1">
      <alignment horizontal="left" vertical="center"/>
    </xf>
    <xf numFmtId="176" fontId="0" fillId="0" borderId="17" xfId="0" applyNumberFormat="1" applyBorder="1" applyAlignment="1">
      <alignment horizontal="left" vertical="center"/>
    </xf>
    <xf numFmtId="176" fontId="0" fillId="3" borderId="21" xfId="0" applyNumberFormat="1" applyFill="1" applyBorder="1">
      <alignment vertical="center"/>
    </xf>
    <xf numFmtId="176" fontId="0" fillId="0" borderId="21" xfId="0" applyNumberFormat="1" applyBorder="1">
      <alignment vertical="center"/>
    </xf>
    <xf numFmtId="176" fontId="0" fillId="0" borderId="12" xfId="0" applyNumberFormat="1" applyBorder="1">
      <alignment vertical="center"/>
    </xf>
    <xf numFmtId="176" fontId="0" fillId="0" borderId="16" xfId="0" applyNumberFormat="1" applyBorder="1">
      <alignment vertical="center"/>
    </xf>
    <xf numFmtId="176" fontId="0" fillId="0" borderId="10" xfId="0" applyNumberFormat="1" applyFill="1" applyBorder="1" applyAlignment="1">
      <alignment vertical="center"/>
    </xf>
    <xf numFmtId="176" fontId="0" fillId="0" borderId="10" xfId="0" applyNumberFormat="1" applyFill="1" applyBorder="1">
      <alignment vertical="center"/>
    </xf>
    <xf numFmtId="176" fontId="0" fillId="0" borderId="22" xfId="0" applyNumberFormat="1" applyBorder="1">
      <alignment vertical="center"/>
    </xf>
    <xf numFmtId="176" fontId="0" fillId="0" borderId="0" xfId="0" applyNumberFormat="1" applyFill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>
      <alignment vertical="center"/>
    </xf>
    <xf numFmtId="176" fontId="3" fillId="0" borderId="13" xfId="0" applyNumberFormat="1" applyFont="1" applyBorder="1">
      <alignment vertical="center"/>
    </xf>
    <xf numFmtId="176" fontId="3" fillId="0" borderId="21" xfId="0" applyNumberFormat="1" applyFont="1" applyBorder="1">
      <alignment vertical="center"/>
    </xf>
    <xf numFmtId="176" fontId="3" fillId="0" borderId="12" xfId="0" applyNumberFormat="1" applyFont="1" applyBorder="1" applyAlignment="1">
      <alignment horizontal="left" vertical="center"/>
    </xf>
    <xf numFmtId="176" fontId="3" fillId="0" borderId="13" xfId="0" applyNumberFormat="1" applyFont="1" applyBorder="1" applyAlignment="1">
      <alignment horizontal="left" vertical="center"/>
    </xf>
    <xf numFmtId="176" fontId="2" fillId="3" borderId="21" xfId="0" applyNumberFormat="1" applyFont="1" applyFill="1" applyBorder="1">
      <alignment vertical="center"/>
    </xf>
    <xf numFmtId="176" fontId="0" fillId="0" borderId="19" xfId="0" applyNumberFormat="1" applyBorder="1">
      <alignment vertical="center"/>
    </xf>
    <xf numFmtId="176" fontId="2" fillId="0" borderId="10" xfId="0" applyNumberFormat="1" applyFont="1" applyFill="1" applyBorder="1" applyAlignment="1">
      <alignment vertical="center"/>
    </xf>
    <xf numFmtId="176" fontId="0" fillId="0" borderId="10" xfId="0" applyNumberFormat="1" applyFill="1" applyBorder="1" applyAlignment="1">
      <alignment horizontal="left" vertical="center"/>
    </xf>
    <xf numFmtId="176" fontId="3" fillId="0" borderId="10" xfId="0" applyNumberFormat="1" applyFont="1" applyFill="1" applyBorder="1" applyAlignment="1">
      <alignment horizontal="center" vertical="center"/>
    </xf>
    <xf numFmtId="177" fontId="0" fillId="0" borderId="10" xfId="0" applyNumberFormat="1" applyFill="1" applyBorder="1">
      <alignment vertical="center"/>
    </xf>
    <xf numFmtId="176" fontId="0" fillId="0" borderId="13" xfId="0" applyNumberFormat="1" applyBorder="1" applyAlignment="1">
      <alignment horizontal="left" vertical="center"/>
    </xf>
    <xf numFmtId="176" fontId="0" fillId="0" borderId="21" xfId="0" applyNumberFormat="1" applyBorder="1" applyAlignment="1">
      <alignment horizontal="left" vertical="center"/>
    </xf>
    <xf numFmtId="176" fontId="0" fillId="0" borderId="9" xfId="0" applyNumberFormat="1" applyBorder="1" applyAlignment="1">
      <alignment horizontal="left" vertical="center"/>
    </xf>
    <xf numFmtId="176" fontId="0" fillId="0" borderId="20" xfId="0" applyNumberFormat="1" applyBorder="1" applyAlignment="1">
      <alignment horizontal="left" vertical="center"/>
    </xf>
    <xf numFmtId="176" fontId="0" fillId="0" borderId="15" xfId="0" applyNumberFormat="1" applyBorder="1" applyAlignment="1">
      <alignment horizontal="left" vertical="center"/>
    </xf>
    <xf numFmtId="176" fontId="0" fillId="0" borderId="0" xfId="0" applyNumberFormat="1" applyBorder="1" applyAlignment="1">
      <alignment horizontal="left" vertical="center"/>
    </xf>
    <xf numFmtId="176" fontId="3" fillId="0" borderId="0" xfId="0" applyNumberFormat="1" applyFont="1" applyBorder="1" applyAlignment="1">
      <alignment horizontal="left" vertical="center"/>
    </xf>
    <xf numFmtId="176" fontId="0" fillId="2" borderId="15" xfId="0" applyNumberFormat="1" applyFill="1" applyBorder="1">
      <alignment vertical="center"/>
    </xf>
    <xf numFmtId="176" fontId="0" fillId="2" borderId="9" xfId="0" applyNumberFormat="1" applyFill="1" applyBorder="1">
      <alignment vertical="center"/>
    </xf>
    <xf numFmtId="176" fontId="0" fillId="2" borderId="17" xfId="0" applyNumberFormat="1" applyFill="1" applyBorder="1">
      <alignment vertical="center"/>
    </xf>
    <xf numFmtId="176" fontId="0" fillId="2" borderId="20" xfId="0" applyNumberFormat="1" applyFill="1" applyBorder="1">
      <alignment vertical="center"/>
    </xf>
    <xf numFmtId="176" fontId="0" fillId="2" borderId="18" xfId="0" applyNumberFormat="1" applyFill="1" applyBorder="1">
      <alignment vertical="center"/>
    </xf>
    <xf numFmtId="176" fontId="0" fillId="0" borderId="1" xfId="0" applyNumberFormat="1" applyBorder="1" applyAlignment="1">
      <alignment horizontal="left" vertical="center"/>
    </xf>
    <xf numFmtId="177" fontId="0" fillId="0" borderId="2" xfId="0" applyNumberFormat="1" applyBorder="1">
      <alignment vertical="center"/>
    </xf>
    <xf numFmtId="176" fontId="0" fillId="0" borderId="32" xfId="0" applyNumberFormat="1" applyBorder="1" applyAlignment="1">
      <alignment horizontal="left" vertical="center"/>
    </xf>
    <xf numFmtId="176" fontId="0" fillId="0" borderId="14" xfId="0" applyNumberFormat="1" applyBorder="1" applyAlignment="1">
      <alignment horizontal="left" vertical="center"/>
    </xf>
    <xf numFmtId="176" fontId="0" fillId="0" borderId="20" xfId="0" applyNumberFormat="1" applyBorder="1" applyAlignment="1">
      <alignment horizontal="left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7" fontId="0" fillId="2" borderId="17" xfId="0" applyNumberFormat="1" applyFill="1" applyBorder="1" applyAlignment="1">
      <alignment horizontal="right" vertical="center"/>
    </xf>
    <xf numFmtId="177" fontId="0" fillId="0" borderId="0" xfId="0" applyNumberFormat="1" applyFill="1" applyBorder="1">
      <alignment vertical="center"/>
    </xf>
    <xf numFmtId="178" fontId="0" fillId="0" borderId="0" xfId="0" applyNumberFormat="1" applyFill="1" applyBorder="1">
      <alignment vertical="center"/>
    </xf>
    <xf numFmtId="180" fontId="0" fillId="0" borderId="0" xfId="0" applyNumberFormat="1" applyBorder="1" applyAlignment="1">
      <alignment horizontal="right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  <cellStyle name="標準 2 3" xfId="1" xr:uid="{00000000-0005-0000-0000-000029000000}"/>
    <cellStyle name="標準 4" xfId="2" xr:uid="{00000000-0005-0000-0000-00002A000000}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rgb="FFFFFF00"/>
  </sheetPr>
  <dimension ref="A1:AN51"/>
  <sheetViews>
    <sheetView tabSelected="1" zoomScale="70" zoomScaleNormal="70" workbookViewId="0">
      <selection activeCell="I12" sqref="I12"/>
    </sheetView>
  </sheetViews>
  <sheetFormatPr defaultColWidth="8.625" defaultRowHeight="18.75"/>
  <cols>
    <col min="1" max="3" width="8.625" style="44"/>
    <col min="4" max="4" width="10.125" style="44" bestFit="1" customWidth="1"/>
    <col min="5" max="23" width="8.625" style="44"/>
    <col min="24" max="24" width="8.625" style="44" customWidth="1"/>
    <col min="25" max="16384" width="8.625" style="44"/>
  </cols>
  <sheetData>
    <row r="1" spans="1:40" s="22" customFormat="1">
      <c r="A1" s="21"/>
      <c r="T1" s="23"/>
      <c r="U1" s="21"/>
      <c r="AN1" s="23"/>
    </row>
    <row r="2" spans="1:40">
      <c r="A2" s="2"/>
      <c r="B2" s="44" t="s">
        <v>108</v>
      </c>
      <c r="L2" s="94" t="s">
        <v>64</v>
      </c>
      <c r="M2" s="94"/>
      <c r="N2" s="94"/>
      <c r="O2" s="94"/>
      <c r="P2" s="94"/>
      <c r="Q2" s="94"/>
      <c r="R2" s="94"/>
      <c r="T2" s="3"/>
      <c r="U2" s="89"/>
      <c r="AN2" s="3"/>
    </row>
    <row r="3" spans="1:40" s="50" customFormat="1" ht="19.5" thickBot="1">
      <c r="A3" s="2"/>
      <c r="B3" s="28" t="s">
        <v>101</v>
      </c>
      <c r="C3" s="28" t="s">
        <v>102</v>
      </c>
      <c r="D3" s="28" t="s">
        <v>103</v>
      </c>
      <c r="E3" s="71" t="s">
        <v>104</v>
      </c>
      <c r="F3" s="73"/>
      <c r="G3" s="14" t="s">
        <v>0</v>
      </c>
      <c r="H3" s="14" t="s">
        <v>1</v>
      </c>
      <c r="I3" s="14" t="s">
        <v>2</v>
      </c>
      <c r="J3" s="57" t="s">
        <v>3</v>
      </c>
      <c r="K3" s="76"/>
      <c r="L3" s="1">
        <f>$I$4</f>
        <v>121334092.11925866</v>
      </c>
      <c r="M3" s="1">
        <f>$I$5</f>
        <v>24612154.13376309</v>
      </c>
      <c r="N3" s="1">
        <f>$I$8</f>
        <v>4.0167244479814937E-10</v>
      </c>
      <c r="O3" s="1">
        <f>$I$10</f>
        <v>0</v>
      </c>
      <c r="P3" s="1">
        <f>$I$11</f>
        <v>5.8233515123733148E-13</v>
      </c>
      <c r="Q3" s="1">
        <f>$I$13</f>
        <v>2.364573208257542E-14</v>
      </c>
      <c r="R3" s="95"/>
      <c r="S3" s="44"/>
      <c r="T3" s="3"/>
      <c r="U3" s="89"/>
      <c r="V3" s="10" t="s">
        <v>93</v>
      </c>
      <c r="W3" s="79" t="s">
        <v>26</v>
      </c>
      <c r="X3" s="18">
        <v>1</v>
      </c>
      <c r="Y3" s="18">
        <v>2</v>
      </c>
      <c r="Z3" s="18">
        <v>3</v>
      </c>
      <c r="AA3" s="18">
        <v>4</v>
      </c>
      <c r="AB3" s="18">
        <v>5</v>
      </c>
      <c r="AC3" s="18">
        <v>6</v>
      </c>
      <c r="AD3" s="18">
        <v>7</v>
      </c>
      <c r="AE3" s="18">
        <v>8</v>
      </c>
      <c r="AF3" s="18">
        <v>9</v>
      </c>
      <c r="AG3" s="18">
        <v>10</v>
      </c>
      <c r="AN3" s="90"/>
    </row>
    <row r="4" spans="1:40" s="50" customFormat="1" ht="19.5" thickTop="1">
      <c r="A4" s="2"/>
      <c r="B4" s="11" t="s">
        <v>109</v>
      </c>
      <c r="C4" s="11" t="s">
        <v>110</v>
      </c>
      <c r="D4" s="84">
        <v>3</v>
      </c>
      <c r="E4" s="59" t="s">
        <v>105</v>
      </c>
      <c r="F4" s="74" t="s">
        <v>111</v>
      </c>
      <c r="G4" s="91" t="s">
        <v>56</v>
      </c>
      <c r="H4" s="79" t="s">
        <v>35</v>
      </c>
      <c r="I4" s="18">
        <f t="shared" ref="I4:I9" si="0">SUMPRODUCT(X11:AG11,$X$8:$AG$8)*10^9</f>
        <v>121334092.11925866</v>
      </c>
      <c r="J4" s="49" t="s">
        <v>36</v>
      </c>
      <c r="K4" s="76"/>
      <c r="L4" s="1">
        <f>$I$5</f>
        <v>24612154.13376309</v>
      </c>
      <c r="M4" s="1">
        <f>$I$6</f>
        <v>78757540.950846076</v>
      </c>
      <c r="N4" s="1">
        <f>$I$8</f>
        <v>4.0167244479814937E-10</v>
      </c>
      <c r="O4" s="1">
        <f>$I$11</f>
        <v>5.8233515123733148E-13</v>
      </c>
      <c r="P4" s="1">
        <f>$I$12</f>
        <v>-3.3881317890172014E-12</v>
      </c>
      <c r="Q4" s="1">
        <f>$I$14</f>
        <v>9.5651261266229803E-15</v>
      </c>
      <c r="R4" s="95"/>
      <c r="S4" s="44"/>
      <c r="T4" s="3"/>
      <c r="U4" s="89"/>
      <c r="V4" s="10" t="s">
        <v>94</v>
      </c>
      <c r="W4" s="79" t="s">
        <v>81</v>
      </c>
      <c r="X4" s="48">
        <v>90</v>
      </c>
      <c r="Y4" s="48">
        <v>45</v>
      </c>
      <c r="Z4" s="48">
        <v>0</v>
      </c>
      <c r="AA4" s="48">
        <v>-45</v>
      </c>
      <c r="AB4" s="48">
        <v>0</v>
      </c>
      <c r="AC4" s="48">
        <v>0</v>
      </c>
      <c r="AD4" s="48">
        <v>-45</v>
      </c>
      <c r="AE4" s="48">
        <v>0</v>
      </c>
      <c r="AF4" s="48">
        <v>45</v>
      </c>
      <c r="AG4" s="48">
        <v>90</v>
      </c>
      <c r="AN4" s="90"/>
    </row>
    <row r="5" spans="1:40" ht="19.5" thickBot="1">
      <c r="A5" s="2"/>
      <c r="B5" s="1" t="s">
        <v>112</v>
      </c>
      <c r="C5" s="79" t="s">
        <v>113</v>
      </c>
      <c r="D5" s="85">
        <v>150</v>
      </c>
      <c r="E5" s="49" t="s">
        <v>105</v>
      </c>
      <c r="F5" s="74"/>
      <c r="G5" s="92"/>
      <c r="H5" s="79" t="s">
        <v>37</v>
      </c>
      <c r="I5" s="17">
        <f t="shared" si="0"/>
        <v>24612154.13376309</v>
      </c>
      <c r="J5" s="49" t="s">
        <v>36</v>
      </c>
      <c r="K5" s="62"/>
      <c r="L5" s="1">
        <f>$I$8</f>
        <v>4.0167244479814937E-10</v>
      </c>
      <c r="M5" s="1">
        <f>$I$8</f>
        <v>4.0167244479814937E-10</v>
      </c>
      <c r="N5" s="51">
        <f>$I$9</f>
        <v>27644554.133763094</v>
      </c>
      <c r="O5" s="1">
        <f>$I$13</f>
        <v>2.364573208257542E-14</v>
      </c>
      <c r="P5" s="1">
        <f>$I$14</f>
        <v>9.5651261266229803E-15</v>
      </c>
      <c r="Q5" s="1">
        <f>$I$15</f>
        <v>3.1763735522036263E-13</v>
      </c>
      <c r="R5" s="95"/>
      <c r="T5" s="3"/>
      <c r="U5" s="89"/>
      <c r="V5" s="14"/>
      <c r="W5" s="56"/>
      <c r="X5" s="20">
        <f>X4*PI()/180</f>
        <v>1.5707963267948966</v>
      </c>
      <c r="Y5" s="20">
        <f t="shared" ref="Y5:AG5" si="1">Y4*PI()/180</f>
        <v>0.78539816339744828</v>
      </c>
      <c r="Z5" s="20">
        <f t="shared" si="1"/>
        <v>0</v>
      </c>
      <c r="AA5" s="20">
        <f t="shared" si="1"/>
        <v>-0.78539816339744828</v>
      </c>
      <c r="AB5" s="20">
        <f t="shared" si="1"/>
        <v>0</v>
      </c>
      <c r="AC5" s="20">
        <f t="shared" si="1"/>
        <v>0</v>
      </c>
      <c r="AD5" s="20">
        <f t="shared" si="1"/>
        <v>-0.78539816339744828</v>
      </c>
      <c r="AE5" s="20">
        <f t="shared" si="1"/>
        <v>0</v>
      </c>
      <c r="AF5" s="20">
        <f t="shared" si="1"/>
        <v>0.78539816339744828</v>
      </c>
      <c r="AG5" s="20">
        <f t="shared" si="1"/>
        <v>1.5707963267948966</v>
      </c>
      <c r="AN5" s="3"/>
    </row>
    <row r="6" spans="1:40" ht="20.25" thickTop="1" thickBot="1">
      <c r="A6" s="2"/>
      <c r="B6" s="12" t="s">
        <v>114</v>
      </c>
      <c r="C6" s="56" t="s">
        <v>115</v>
      </c>
      <c r="D6" s="86">
        <v>0.33</v>
      </c>
      <c r="E6" s="58" t="s">
        <v>100</v>
      </c>
      <c r="F6" s="74"/>
      <c r="G6" s="92"/>
      <c r="H6" s="79" t="s">
        <v>38</v>
      </c>
      <c r="I6" s="17">
        <f t="shared" si="0"/>
        <v>78757540.950846076</v>
      </c>
      <c r="J6" s="49" t="s">
        <v>36</v>
      </c>
      <c r="K6" s="62"/>
      <c r="L6" s="1">
        <f>$I$10</f>
        <v>0</v>
      </c>
      <c r="M6" s="1">
        <f>$I$11</f>
        <v>5.8233515123733148E-13</v>
      </c>
      <c r="N6" s="1">
        <f>$I$13</f>
        <v>2.364573208257542E-14</v>
      </c>
      <c r="O6" s="1">
        <f>$I$16</f>
        <v>12.665698326188556</v>
      </c>
      <c r="P6" s="1">
        <f>$I$17</f>
        <v>4.1615264320709082</v>
      </c>
      <c r="Q6" s="1">
        <f>$I$19</f>
        <v>2.3949310032232058</v>
      </c>
      <c r="R6" s="96"/>
      <c r="S6" s="65"/>
      <c r="T6" s="3"/>
      <c r="U6" s="89"/>
      <c r="V6" s="15"/>
      <c r="W6" s="81" t="s">
        <v>82</v>
      </c>
      <c r="X6" s="13">
        <f>$D$20*(X3-$I$29/2)</f>
        <v>-5.9999999999999995E-4</v>
      </c>
      <c r="Y6" s="13">
        <f t="shared" ref="Y6:AG6" si="2">$D$20*(Y3-$I$29/2)</f>
        <v>-4.4999999999999999E-4</v>
      </c>
      <c r="Z6" s="13">
        <f t="shared" si="2"/>
        <v>-2.9999999999999997E-4</v>
      </c>
      <c r="AA6" s="13">
        <f t="shared" si="2"/>
        <v>-1.4999999999999999E-4</v>
      </c>
      <c r="AB6" s="13">
        <f t="shared" si="2"/>
        <v>0</v>
      </c>
      <c r="AC6" s="13">
        <f t="shared" si="2"/>
        <v>1.4999999999999999E-4</v>
      </c>
      <c r="AD6" s="13">
        <f t="shared" si="2"/>
        <v>2.9999999999999997E-4</v>
      </c>
      <c r="AE6" s="13">
        <f t="shared" si="2"/>
        <v>4.4999999999999999E-4</v>
      </c>
      <c r="AF6" s="13">
        <f t="shared" si="2"/>
        <v>5.9999999999999995E-4</v>
      </c>
      <c r="AG6" s="13">
        <f t="shared" si="2"/>
        <v>7.4999999999999991E-4</v>
      </c>
      <c r="AN6" s="3"/>
    </row>
    <row r="7" spans="1:40" ht="19.5" thickTop="1">
      <c r="A7" s="2"/>
      <c r="B7" s="11" t="s">
        <v>109</v>
      </c>
      <c r="C7" s="81" t="s">
        <v>116</v>
      </c>
      <c r="D7" s="84">
        <v>7.4999999999999997E-2</v>
      </c>
      <c r="E7" s="59" t="s">
        <v>105</v>
      </c>
      <c r="F7" s="74" t="s">
        <v>117</v>
      </c>
      <c r="G7" s="92"/>
      <c r="H7" s="79" t="s">
        <v>10</v>
      </c>
      <c r="I7" s="17">
        <f t="shared" si="0"/>
        <v>-1.699692761780399E-9</v>
      </c>
      <c r="J7" s="49" t="s">
        <v>36</v>
      </c>
      <c r="K7" s="62"/>
      <c r="L7" s="1">
        <f>$I$11</f>
        <v>5.8233515123733148E-13</v>
      </c>
      <c r="M7" s="1">
        <f>$I$12</f>
        <v>-3.3881317890172014E-12</v>
      </c>
      <c r="N7" s="1">
        <f>$I$14</f>
        <v>9.5651261266229803E-15</v>
      </c>
      <c r="O7" s="1">
        <f>$I$17</f>
        <v>4.1615264320709082</v>
      </c>
      <c r="P7" s="1">
        <f>$I$18</f>
        <v>25.757987810475413</v>
      </c>
      <c r="Q7" s="1">
        <f>$I$20</f>
        <v>2.3949310032232063</v>
      </c>
      <c r="R7" s="95"/>
      <c r="T7" s="3"/>
      <c r="U7" s="89"/>
      <c r="V7" s="9"/>
      <c r="W7" s="79" t="s">
        <v>83</v>
      </c>
      <c r="X7" s="16">
        <f>$D$20*(X3-1-$I$29/2)</f>
        <v>-7.4999999999999991E-4</v>
      </c>
      <c r="Y7" s="16">
        <f t="shared" ref="Y7:AG7" si="3">$D$20*(Y3-1-$I$29/2)</f>
        <v>-5.9999999999999995E-4</v>
      </c>
      <c r="Z7" s="16">
        <f t="shared" si="3"/>
        <v>-4.4999999999999999E-4</v>
      </c>
      <c r="AA7" s="16">
        <f t="shared" si="3"/>
        <v>-2.9999999999999997E-4</v>
      </c>
      <c r="AB7" s="16">
        <f t="shared" si="3"/>
        <v>-1.4999999999999999E-4</v>
      </c>
      <c r="AC7" s="16">
        <f t="shared" si="3"/>
        <v>0</v>
      </c>
      <c r="AD7" s="16">
        <f t="shared" si="3"/>
        <v>1.4999999999999999E-4</v>
      </c>
      <c r="AE7" s="16">
        <f t="shared" si="3"/>
        <v>2.9999999999999997E-4</v>
      </c>
      <c r="AF7" s="16">
        <f t="shared" si="3"/>
        <v>4.4999999999999999E-4</v>
      </c>
      <c r="AG7" s="16">
        <f t="shared" si="3"/>
        <v>5.9999999999999995E-4</v>
      </c>
      <c r="AN7" s="3"/>
    </row>
    <row r="8" spans="1:40">
      <c r="A8" s="2"/>
      <c r="B8" s="1" t="s">
        <v>112</v>
      </c>
      <c r="C8" s="79" t="s">
        <v>118</v>
      </c>
      <c r="D8" s="85">
        <v>8</v>
      </c>
      <c r="E8" s="49" t="s">
        <v>105</v>
      </c>
      <c r="F8" s="74"/>
      <c r="G8" s="92"/>
      <c r="H8" s="79" t="s">
        <v>39</v>
      </c>
      <c r="I8" s="17">
        <f t="shared" si="0"/>
        <v>4.0167244479814937E-10</v>
      </c>
      <c r="J8" s="49" t="s">
        <v>36</v>
      </c>
      <c r="K8" s="62"/>
      <c r="L8" s="1">
        <f>$I$13</f>
        <v>2.364573208257542E-14</v>
      </c>
      <c r="M8" s="1">
        <f>$I$14</f>
        <v>9.5651261266229803E-15</v>
      </c>
      <c r="N8" s="1">
        <f>$I$15</f>
        <v>3.1763735522036263E-13</v>
      </c>
      <c r="O8" s="1">
        <f>$I$19</f>
        <v>2.3949310032232058</v>
      </c>
      <c r="P8" s="1">
        <f>$I$20</f>
        <v>2.3949310032232063</v>
      </c>
      <c r="Q8" s="1">
        <f>$I$21</f>
        <v>4.7301014320709083</v>
      </c>
      <c r="R8" s="95"/>
      <c r="T8" s="3"/>
      <c r="U8" s="89"/>
      <c r="V8" s="9"/>
      <c r="W8" s="79" t="s">
        <v>84</v>
      </c>
      <c r="X8" s="16">
        <f>X6-X7</f>
        <v>1.4999999999999996E-4</v>
      </c>
      <c r="Y8" s="16">
        <f t="shared" ref="Y8:AG8" si="4">Y6-Y7</f>
        <v>1.4999999999999996E-4</v>
      </c>
      <c r="Z8" s="16">
        <f t="shared" si="4"/>
        <v>1.5000000000000001E-4</v>
      </c>
      <c r="AA8" s="16">
        <f t="shared" si="4"/>
        <v>1.4999999999999999E-4</v>
      </c>
      <c r="AB8" s="16">
        <f t="shared" si="4"/>
        <v>1.4999999999999999E-4</v>
      </c>
      <c r="AC8" s="16">
        <f t="shared" si="4"/>
        <v>1.4999999999999999E-4</v>
      </c>
      <c r="AD8" s="16">
        <f t="shared" si="4"/>
        <v>1.4999999999999999E-4</v>
      </c>
      <c r="AE8" s="16">
        <f t="shared" si="4"/>
        <v>1.5000000000000001E-4</v>
      </c>
      <c r="AF8" s="16">
        <f t="shared" si="4"/>
        <v>1.4999999999999996E-4</v>
      </c>
      <c r="AG8" s="16">
        <f t="shared" si="4"/>
        <v>1.4999999999999996E-4</v>
      </c>
      <c r="AN8" s="3"/>
    </row>
    <row r="9" spans="1:40" ht="19.5" thickBot="1">
      <c r="A9" s="2"/>
      <c r="B9" s="12" t="s">
        <v>114</v>
      </c>
      <c r="C9" s="56" t="s">
        <v>119</v>
      </c>
      <c r="D9" s="86">
        <v>0.02</v>
      </c>
      <c r="E9" s="58" t="s">
        <v>100</v>
      </c>
      <c r="F9" s="74"/>
      <c r="G9" s="93"/>
      <c r="H9" s="56" t="s">
        <v>40</v>
      </c>
      <c r="I9" s="42">
        <f t="shared" si="0"/>
        <v>27644554.133763094</v>
      </c>
      <c r="J9" s="58" t="s">
        <v>36</v>
      </c>
      <c r="K9" s="62"/>
      <c r="L9" s="97"/>
      <c r="M9" s="97"/>
      <c r="N9" s="97"/>
      <c r="O9" s="95"/>
      <c r="P9" s="95"/>
      <c r="Q9" s="95"/>
      <c r="R9" s="95"/>
      <c r="T9" s="3"/>
      <c r="U9" s="89"/>
      <c r="V9" s="9"/>
      <c r="W9" s="79" t="s">
        <v>27</v>
      </c>
      <c r="X9" s="16">
        <f>X6^2-X7^2</f>
        <v>-2.0249999999999997E-7</v>
      </c>
      <c r="Y9" s="16">
        <f t="shared" ref="Y9:AG9" si="5">Y6^2-Y7^2</f>
        <v>-1.5749999999999995E-7</v>
      </c>
      <c r="Z9" s="16">
        <f t="shared" si="5"/>
        <v>-1.1250000000000001E-7</v>
      </c>
      <c r="AA9" s="16">
        <f t="shared" si="5"/>
        <v>-6.7499999999999989E-8</v>
      </c>
      <c r="AB9" s="16">
        <f t="shared" si="5"/>
        <v>-2.2499999999999996E-8</v>
      </c>
      <c r="AC9" s="16">
        <f t="shared" si="5"/>
        <v>2.2499999999999996E-8</v>
      </c>
      <c r="AD9" s="16">
        <f t="shared" si="5"/>
        <v>6.7499999999999989E-8</v>
      </c>
      <c r="AE9" s="16">
        <f t="shared" si="5"/>
        <v>1.1250000000000001E-7</v>
      </c>
      <c r="AF9" s="16">
        <f t="shared" si="5"/>
        <v>1.5749999999999995E-7</v>
      </c>
      <c r="AG9" s="16">
        <f t="shared" si="5"/>
        <v>2.0249999999999997E-7</v>
      </c>
      <c r="AN9" s="3"/>
    </row>
    <row r="10" spans="1:40" ht="20.25" thickTop="1" thickBot="1">
      <c r="A10" s="2"/>
      <c r="B10" s="11" t="s">
        <v>109</v>
      </c>
      <c r="C10" s="81" t="s">
        <v>120</v>
      </c>
      <c r="D10" s="84">
        <v>-1.5</v>
      </c>
      <c r="E10" s="59" t="s">
        <v>105</v>
      </c>
      <c r="F10" s="74" t="s">
        <v>121</v>
      </c>
      <c r="G10" s="91" t="s">
        <v>55</v>
      </c>
      <c r="H10" s="81" t="s">
        <v>41</v>
      </c>
      <c r="I10" s="17">
        <f t="shared" ref="I10:I15" si="6">(1/2)*SUMPRODUCT($X$9:$AG$9,X11:AG11)*10^9</f>
        <v>0</v>
      </c>
      <c r="J10" s="59" t="s">
        <v>43</v>
      </c>
      <c r="K10" s="62"/>
      <c r="L10" s="94" t="s">
        <v>65</v>
      </c>
      <c r="M10" s="94"/>
      <c r="N10" s="94"/>
      <c r="O10" s="94"/>
      <c r="P10" s="94"/>
      <c r="Q10" s="94"/>
      <c r="R10" s="95"/>
      <c r="T10" s="3"/>
      <c r="U10" s="89"/>
      <c r="V10" s="14"/>
      <c r="W10" s="56" t="s">
        <v>28</v>
      </c>
      <c r="X10" s="20">
        <f>X6^3-X7^3</f>
        <v>2.0587499999999995E-10</v>
      </c>
      <c r="Y10" s="20">
        <f t="shared" ref="Y10:AG10" si="7">Y6^3-Y7^3</f>
        <v>1.2487499999999994E-10</v>
      </c>
      <c r="Z10" s="20">
        <f t="shared" si="7"/>
        <v>6.4124999999999998E-11</v>
      </c>
      <c r="AA10" s="20">
        <f t="shared" si="7"/>
        <v>2.3624999999999996E-11</v>
      </c>
      <c r="AB10" s="20">
        <f t="shared" si="7"/>
        <v>3.3749999999999993E-12</v>
      </c>
      <c r="AC10" s="20">
        <f t="shared" si="7"/>
        <v>3.3749999999999993E-12</v>
      </c>
      <c r="AD10" s="20">
        <f t="shared" si="7"/>
        <v>2.3624999999999996E-11</v>
      </c>
      <c r="AE10" s="20">
        <f t="shared" si="7"/>
        <v>6.4124999999999998E-11</v>
      </c>
      <c r="AF10" s="20">
        <f t="shared" si="7"/>
        <v>1.2487499999999994E-10</v>
      </c>
      <c r="AG10" s="20">
        <f t="shared" si="7"/>
        <v>2.0587499999999995E-10</v>
      </c>
      <c r="AN10" s="3"/>
    </row>
    <row r="11" spans="1:40" ht="19.5" thickTop="1">
      <c r="A11" s="2"/>
      <c r="B11" s="1" t="s">
        <v>112</v>
      </c>
      <c r="C11" s="79" t="s">
        <v>122</v>
      </c>
      <c r="D11" s="85">
        <v>150</v>
      </c>
      <c r="E11" s="49" t="s">
        <v>105</v>
      </c>
      <c r="F11" s="74"/>
      <c r="G11" s="92"/>
      <c r="H11" s="79" t="s">
        <v>42</v>
      </c>
      <c r="I11" s="18">
        <f t="shared" si="6"/>
        <v>5.8233515123733148E-13</v>
      </c>
      <c r="J11" s="49" t="s">
        <v>43</v>
      </c>
      <c r="K11" s="62"/>
      <c r="L11" s="16">
        <f t="array" ref="L11:Q16">MINVERSE($L$3:$Q$8)</f>
        <v>8.7995122901247103E-9</v>
      </c>
      <c r="M11" s="16">
        <v>-2.7498948059038579E-9</v>
      </c>
      <c r="N11" s="16">
        <v>-8.7900301564742302E-26</v>
      </c>
      <c r="O11" s="16">
        <v>3.0790124650331558E-22</v>
      </c>
      <c r="P11" s="16">
        <v>-6.2159195316366737E-22</v>
      </c>
      <c r="Q11" s="16">
        <v>1.2039906280367763E-22</v>
      </c>
      <c r="R11" s="95"/>
      <c r="T11" s="3"/>
      <c r="U11" s="89"/>
      <c r="V11" s="9" t="s">
        <v>97</v>
      </c>
      <c r="W11" s="37" t="s">
        <v>15</v>
      </c>
      <c r="X11" s="16">
        <f>$I$22*((COS(X5))^4)+2*($I$23+2*$I$25)*(COS(X5)^2)*(SIN(X5)^2)+$I$24*(SIN(X5)^4)</f>
        <v>9.1659951651893632</v>
      </c>
      <c r="Y11" s="16">
        <f t="shared" ref="Y11:AG11" si="8">$I$22*((COS(Y5))^4)+2*($I$23+2*$I$25)*(COS(Y5)^2)*(SIN(Y5)^2)+$I$24*(SIN(Y5)^4)</f>
        <v>46.552656889605174</v>
      </c>
      <c r="Z11" s="16">
        <f t="shared" si="8"/>
        <v>151.08783239323125</v>
      </c>
      <c r="AA11" s="16">
        <f t="shared" si="8"/>
        <v>46.552656889605174</v>
      </c>
      <c r="AB11" s="16">
        <f t="shared" si="8"/>
        <v>151.08783239323125</v>
      </c>
      <c r="AC11" s="16">
        <f t="shared" si="8"/>
        <v>151.08783239323125</v>
      </c>
      <c r="AD11" s="16">
        <f t="shared" si="8"/>
        <v>46.552656889605174</v>
      </c>
      <c r="AE11" s="16">
        <f t="shared" si="8"/>
        <v>151.08783239323125</v>
      </c>
      <c r="AF11" s="16">
        <f t="shared" si="8"/>
        <v>46.552656889605174</v>
      </c>
      <c r="AG11" s="16">
        <f t="shared" si="8"/>
        <v>9.1659951651893632</v>
      </c>
      <c r="AN11" s="3"/>
    </row>
    <row r="12" spans="1:40" ht="19.5" thickBot="1">
      <c r="A12" s="2"/>
      <c r="B12" s="12" t="s">
        <v>114</v>
      </c>
      <c r="C12" s="56" t="s">
        <v>123</v>
      </c>
      <c r="D12" s="86">
        <v>0.36</v>
      </c>
      <c r="E12" s="58" t="s">
        <v>100</v>
      </c>
      <c r="F12" s="74"/>
      <c r="G12" s="92"/>
      <c r="H12" s="79" t="s">
        <v>44</v>
      </c>
      <c r="I12" s="18">
        <f t="shared" si="6"/>
        <v>-3.3881317890172014E-12</v>
      </c>
      <c r="J12" s="49" t="s">
        <v>43</v>
      </c>
      <c r="K12" s="62"/>
      <c r="L12" s="1">
        <v>-2.7498948059038579E-9</v>
      </c>
      <c r="M12" s="1">
        <v>1.3556553720752886E-8</v>
      </c>
      <c r="N12" s="1">
        <v>-1.5701960991751565E-25</v>
      </c>
      <c r="O12" s="1">
        <v>-1.223224184333718E-21</v>
      </c>
      <c r="P12" s="1">
        <v>2.0848183997459687E-21</v>
      </c>
      <c r="Q12" s="1">
        <v>-4.4990696279900519E-22</v>
      </c>
      <c r="R12" s="95"/>
      <c r="T12" s="3"/>
      <c r="U12" s="89"/>
      <c r="V12" s="9"/>
      <c r="W12" s="37" t="s">
        <v>16</v>
      </c>
      <c r="X12" s="16">
        <f>$I$23*(COS(X5)^4+SIN(X5)^4)+($I$22+$I$24-4*$I$25)*(COS(X5)^2)*(SIN(X5)^2)</f>
        <v>2.9784000000000002</v>
      </c>
      <c r="Y12" s="16">
        <f t="shared" ref="Y12:AG12" si="9">$I$23*(COS(Y5)^4+SIN(Y5)^4)+($I$22+$I$24-4*$I$25)*(COS(Y5)^2)*(SIN(Y5)^2)</f>
        <v>36.552656889605153</v>
      </c>
      <c r="Z12" s="16">
        <f t="shared" si="9"/>
        <v>2.9784000000000002</v>
      </c>
      <c r="AA12" s="16">
        <f t="shared" si="9"/>
        <v>36.552656889605153</v>
      </c>
      <c r="AB12" s="16">
        <f t="shared" si="9"/>
        <v>2.9784000000000002</v>
      </c>
      <c r="AC12" s="16">
        <f t="shared" si="9"/>
        <v>2.9784000000000002</v>
      </c>
      <c r="AD12" s="16">
        <f t="shared" si="9"/>
        <v>36.552656889605153</v>
      </c>
      <c r="AE12" s="16">
        <f t="shared" si="9"/>
        <v>2.9784000000000002</v>
      </c>
      <c r="AF12" s="16">
        <f t="shared" si="9"/>
        <v>36.552656889605153</v>
      </c>
      <c r="AG12" s="16">
        <f t="shared" si="9"/>
        <v>2.9784000000000002</v>
      </c>
      <c r="AN12" s="3"/>
    </row>
    <row r="13" spans="1:40" ht="19.5" thickTop="1">
      <c r="A13" s="2"/>
      <c r="B13" s="11" t="s">
        <v>109</v>
      </c>
      <c r="C13" s="81" t="s">
        <v>124</v>
      </c>
      <c r="D13" s="84">
        <v>-0.18</v>
      </c>
      <c r="E13" s="59" t="s">
        <v>105</v>
      </c>
      <c r="F13" s="74" t="s">
        <v>125</v>
      </c>
      <c r="G13" s="92"/>
      <c r="H13" s="79" t="s">
        <v>45</v>
      </c>
      <c r="I13" s="18">
        <f t="shared" si="6"/>
        <v>2.364573208257542E-14</v>
      </c>
      <c r="J13" s="49" t="s">
        <v>43</v>
      </c>
      <c r="K13" s="62"/>
      <c r="L13" s="1">
        <v>-8.7900301564742302E-26</v>
      </c>
      <c r="M13" s="1">
        <v>-1.5701960991751567E-25</v>
      </c>
      <c r="N13" s="1">
        <v>3.6173489909127202E-8</v>
      </c>
      <c r="O13" s="1">
        <v>3.8786947902080078E-22</v>
      </c>
      <c r="P13" s="1">
        <v>1.7631839368575786E-22</v>
      </c>
      <c r="Q13" s="1">
        <v>-2.7147922462607827E-21</v>
      </c>
      <c r="R13" s="95"/>
      <c r="T13" s="3"/>
      <c r="U13" s="89"/>
      <c r="V13" s="9"/>
      <c r="W13" s="38" t="s">
        <v>17</v>
      </c>
      <c r="X13" s="16">
        <f>$I$22*(SIN(X5)^4)+2*($I$23+2*$I$25)*(COS(X5)^2)*(SIN(X5)^2)+$I$24*(COS(X5)^4)</f>
        <v>151.08783239323125</v>
      </c>
      <c r="Y13" s="16">
        <f t="shared" ref="Y13:AG13" si="10">$I$22*(SIN(Y5)^4)+2*($I$23+2*$I$25)*(COS(Y5)^2)*(SIN(Y5)^2)+$I$24*(COS(Y5)^4)</f>
        <v>46.552656889605146</v>
      </c>
      <c r="Z13" s="16">
        <f t="shared" si="10"/>
        <v>9.1659951651893632</v>
      </c>
      <c r="AA13" s="16">
        <f t="shared" si="10"/>
        <v>46.552656889605146</v>
      </c>
      <c r="AB13" s="16">
        <f t="shared" si="10"/>
        <v>9.1659951651893632</v>
      </c>
      <c r="AC13" s="16">
        <f t="shared" si="10"/>
        <v>9.1659951651893632</v>
      </c>
      <c r="AD13" s="16">
        <f t="shared" si="10"/>
        <v>46.552656889605146</v>
      </c>
      <c r="AE13" s="16">
        <f t="shared" si="10"/>
        <v>9.1659951651893632</v>
      </c>
      <c r="AF13" s="16">
        <f t="shared" si="10"/>
        <v>46.552656889605146</v>
      </c>
      <c r="AG13" s="16">
        <f t="shared" si="10"/>
        <v>151.08783239323125</v>
      </c>
      <c r="AN13" s="3"/>
    </row>
    <row r="14" spans="1:40">
      <c r="A14" s="2"/>
      <c r="B14" s="1" t="s">
        <v>112</v>
      </c>
      <c r="C14" s="79" t="s">
        <v>126</v>
      </c>
      <c r="D14" s="85">
        <v>9.1</v>
      </c>
      <c r="E14" s="49" t="s">
        <v>105</v>
      </c>
      <c r="F14" s="74"/>
      <c r="G14" s="92"/>
      <c r="H14" s="79" t="s">
        <v>46</v>
      </c>
      <c r="I14" s="18">
        <f t="shared" si="6"/>
        <v>9.5651261266229803E-15</v>
      </c>
      <c r="J14" s="49" t="s">
        <v>43</v>
      </c>
      <c r="K14" s="62"/>
      <c r="L14" s="1">
        <v>3.0790124650331558E-22</v>
      </c>
      <c r="M14" s="1">
        <v>-1.223224184333718E-21</v>
      </c>
      <c r="N14" s="1">
        <v>3.8786947902080074E-22</v>
      </c>
      <c r="O14" s="1">
        <v>9.0099721762687504E-2</v>
      </c>
      <c r="P14" s="1">
        <v>-1.0824758483429087E-2</v>
      </c>
      <c r="Q14" s="1">
        <v>-4.0138265545344644E-2</v>
      </c>
      <c r="R14" s="94"/>
      <c r="T14" s="3"/>
      <c r="U14" s="89"/>
      <c r="V14" s="9"/>
      <c r="W14" s="37" t="s">
        <v>85</v>
      </c>
      <c r="X14" s="16">
        <f>($I$22-$I$23-2*$I$25)*(COS(X5)^3)*SIN(X5)-($I$24-$I$23-2*$I$25)*COS(X5)*(SIN(X5)^3)</f>
        <v>2.3353809464272025E-16</v>
      </c>
      <c r="Y14" s="16">
        <f t="shared" ref="Y14:AG14" si="11">($I$22-$I$23-2*$I$25)*(COS(Y5)^3)*SIN(Y5)-($I$24-$I$23-2*$I$25)*COS(Y5)*(SIN(Y5)^3)</f>
        <v>35.480459307010484</v>
      </c>
      <c r="Z14" s="16">
        <f t="shared" si="11"/>
        <v>0</v>
      </c>
      <c r="AA14" s="16">
        <f t="shared" si="11"/>
        <v>-35.480459307010484</v>
      </c>
      <c r="AB14" s="16">
        <f t="shared" si="11"/>
        <v>0</v>
      </c>
      <c r="AC14" s="16">
        <f t="shared" si="11"/>
        <v>0</v>
      </c>
      <c r="AD14" s="16">
        <f t="shared" si="11"/>
        <v>-35.480459307010484</v>
      </c>
      <c r="AE14" s="16">
        <f t="shared" si="11"/>
        <v>0</v>
      </c>
      <c r="AF14" s="16">
        <f t="shared" si="11"/>
        <v>35.480459307010484</v>
      </c>
      <c r="AG14" s="16">
        <f t="shared" si="11"/>
        <v>2.3353809464272025E-16</v>
      </c>
      <c r="AN14" s="3"/>
    </row>
    <row r="15" spans="1:40" ht="19.5" thickBot="1">
      <c r="A15" s="2"/>
      <c r="B15" s="12" t="s">
        <v>114</v>
      </c>
      <c r="C15" s="56" t="s">
        <v>123</v>
      </c>
      <c r="D15" s="86">
        <v>0.02</v>
      </c>
      <c r="E15" s="58" t="s">
        <v>100</v>
      </c>
      <c r="F15" s="74"/>
      <c r="G15" s="93"/>
      <c r="H15" s="56" t="s">
        <v>47</v>
      </c>
      <c r="I15" s="19">
        <f t="shared" si="6"/>
        <v>3.1763735522036263E-13</v>
      </c>
      <c r="J15" s="58" t="s">
        <v>43</v>
      </c>
      <c r="K15" s="62"/>
      <c r="L15" s="1">
        <v>-6.2159195316366746E-22</v>
      </c>
      <c r="M15" s="1">
        <v>2.0848183997459687E-21</v>
      </c>
      <c r="N15" s="1">
        <v>1.7631839368575786E-22</v>
      </c>
      <c r="O15" s="1">
        <v>-1.0824758483429085E-2</v>
      </c>
      <c r="P15" s="1">
        <v>4.2041350072864928E-2</v>
      </c>
      <c r="Q15" s="1">
        <v>-1.5805492564197502E-2</v>
      </c>
      <c r="R15" s="94"/>
      <c r="T15" s="3"/>
      <c r="U15" s="89"/>
      <c r="V15" s="9"/>
      <c r="W15" s="37" t="s">
        <v>33</v>
      </c>
      <c r="X15" s="16">
        <f>($I$22-$I$23-2*$I$25)*(SIN(X5)^3)*COS(X5)-($I$24-$I$23-2*$I$25)*SIN(X5)*(COS(X5)^3)</f>
        <v>8.4602278852436888E-15</v>
      </c>
      <c r="Y15" s="16">
        <f t="shared" ref="Y15:AG15" si="12">($I$22-$I$23-2*$I$25)*(SIN(Y5)^3)*COS(Y5)-($I$24-$I$23-2*$I$25)*SIN(Y5)*(COS(Y5)^3)</f>
        <v>35.48045930701047</v>
      </c>
      <c r="Z15" s="16">
        <f t="shared" si="12"/>
        <v>0</v>
      </c>
      <c r="AA15" s="16">
        <f t="shared" si="12"/>
        <v>-35.48045930701047</v>
      </c>
      <c r="AB15" s="16">
        <f t="shared" si="12"/>
        <v>0</v>
      </c>
      <c r="AC15" s="16">
        <f t="shared" si="12"/>
        <v>0</v>
      </c>
      <c r="AD15" s="16">
        <f t="shared" si="12"/>
        <v>-35.48045930701047</v>
      </c>
      <c r="AE15" s="16">
        <f t="shared" si="12"/>
        <v>0</v>
      </c>
      <c r="AF15" s="16">
        <f t="shared" si="12"/>
        <v>35.48045930701047</v>
      </c>
      <c r="AG15" s="16">
        <f t="shared" si="12"/>
        <v>8.4602278852436888E-15</v>
      </c>
      <c r="AN15" s="3"/>
    </row>
    <row r="16" spans="1:40" ht="20.25" thickTop="1" thickBot="1">
      <c r="A16" s="2"/>
      <c r="B16" s="11" t="s">
        <v>109</v>
      </c>
      <c r="C16" s="81" t="s">
        <v>127</v>
      </c>
      <c r="D16" s="84">
        <v>0.125</v>
      </c>
      <c r="E16" s="59" t="s">
        <v>105</v>
      </c>
      <c r="F16" s="74" t="s">
        <v>128</v>
      </c>
      <c r="G16" s="91" t="s">
        <v>57</v>
      </c>
      <c r="H16" s="79" t="s">
        <v>48</v>
      </c>
      <c r="I16" s="18">
        <f t="shared" ref="I16:I21" si="13">(1/3)*SUMPRODUCT($X$10:$AG$10,X11:AG11)*10^9</f>
        <v>12.665698326188556</v>
      </c>
      <c r="J16" s="49" t="s">
        <v>49</v>
      </c>
      <c r="K16" s="62"/>
      <c r="L16" s="1">
        <v>1.2039906280367753E-22</v>
      </c>
      <c r="M16" s="1">
        <v>-4.4990696279900491E-22</v>
      </c>
      <c r="N16" s="1">
        <v>-2.7147922462607824E-21</v>
      </c>
      <c r="O16" s="1">
        <v>-4.0138265545344658E-2</v>
      </c>
      <c r="P16" s="1">
        <v>-1.5805492564197499E-2</v>
      </c>
      <c r="Q16" s="1">
        <v>0.23973723545224027</v>
      </c>
      <c r="R16" s="94"/>
      <c r="T16" s="3"/>
      <c r="U16" s="89"/>
      <c r="V16" s="14"/>
      <c r="W16" s="43" t="s">
        <v>86</v>
      </c>
      <c r="X16" s="20">
        <f>($I$22+$I$24-2*$I$23-2*$I$25)*(COS(X5)^2)*(SIN(X5)^2)+$I$25*(COS(X5)^4+SIN(X5)^4)</f>
        <v>5</v>
      </c>
      <c r="Y16" s="20">
        <f t="shared" ref="Y16:AG16" si="14">($I$22+$I$24-2*$I$23-2*$I$25)*(COS(Y5)^2)*(SIN(Y5)^2)+$I$25*(COS(Y5)^4+SIN(Y5)^4)</f>
        <v>38.574256889605159</v>
      </c>
      <c r="Z16" s="20">
        <f t="shared" si="14"/>
        <v>5</v>
      </c>
      <c r="AA16" s="20">
        <f t="shared" si="14"/>
        <v>38.574256889605159</v>
      </c>
      <c r="AB16" s="20">
        <f t="shared" si="14"/>
        <v>5</v>
      </c>
      <c r="AC16" s="20">
        <f t="shared" si="14"/>
        <v>5</v>
      </c>
      <c r="AD16" s="20">
        <f t="shared" si="14"/>
        <v>38.574256889605159</v>
      </c>
      <c r="AE16" s="20">
        <f t="shared" si="14"/>
        <v>5</v>
      </c>
      <c r="AF16" s="20">
        <f t="shared" si="14"/>
        <v>38.574256889605159</v>
      </c>
      <c r="AG16" s="20">
        <f t="shared" si="14"/>
        <v>5</v>
      </c>
      <c r="AN16" s="3"/>
    </row>
    <row r="17" spans="1:40" ht="20.25" thickTop="1" thickBot="1">
      <c r="A17" s="2"/>
      <c r="B17" s="12" t="s">
        <v>112</v>
      </c>
      <c r="C17" s="56" t="s">
        <v>129</v>
      </c>
      <c r="D17" s="86">
        <v>5</v>
      </c>
      <c r="E17" s="58" t="s">
        <v>105</v>
      </c>
      <c r="F17" s="74"/>
      <c r="G17" s="92"/>
      <c r="H17" s="79" t="s">
        <v>12</v>
      </c>
      <c r="I17" s="18">
        <f t="shared" si="13"/>
        <v>4.1615264320709082</v>
      </c>
      <c r="J17" s="49" t="s">
        <v>49</v>
      </c>
      <c r="K17" s="62"/>
      <c r="L17" s="94"/>
      <c r="M17" s="94"/>
      <c r="N17" s="94"/>
      <c r="O17" s="94"/>
      <c r="P17" s="94"/>
      <c r="Q17" s="94"/>
      <c r="R17" s="94"/>
      <c r="T17" s="3"/>
      <c r="U17" s="89"/>
      <c r="V17" s="9" t="s">
        <v>95</v>
      </c>
      <c r="W17" s="79" t="s">
        <v>87</v>
      </c>
      <c r="X17" s="16">
        <f>IF(X3&lt;($I$29/2),X11*($D$21+AVERAGE(X6:X7)*$D$24)+X12*($D$22+AVERAGE(X6:X7)*$D$25)+X14*($D$23+AVERAGE(X6:X7)*$D$26),X11*($D$21+AVERAGE(X6:X7)*$D$24)+X12*($D$22+AVERAGE(X6:X7)*$D$25)+X14*($D$23+AVERAGE(X6:X7)*$D$26))</f>
        <v>-7.2310191269905955E-2</v>
      </c>
      <c r="Y17" s="16">
        <f t="shared" ref="Y17:AG17" si="15">IF(Y3&lt;($I$29/2),Y11*($D$21+AVERAGE(Y6:Y7)*$D$24)+Y12*($D$22+AVERAGE(Y6:Y7)*$D$25)+Y14*($D$23+AVERAGE(Y6:Y7)*$D$26),Y11*($D$21+AVERAGE(Y6:Y7)*$D$24)+Y12*($D$22+AVERAGE(Y6:Y7)*$D$25)+Y14*($D$23+AVERAGE(Y6:Y7)*$D$26))</f>
        <v>-0.30846006606535892</v>
      </c>
      <c r="Z17" s="16">
        <f t="shared" si="15"/>
        <v>-1.3184680049663546</v>
      </c>
      <c r="AA17" s="16">
        <f t="shared" si="15"/>
        <v>-0.30846006606535892</v>
      </c>
      <c r="AB17" s="16">
        <f t="shared" si="15"/>
        <v>-1.3184680049663546</v>
      </c>
      <c r="AC17" s="16">
        <f t="shared" si="15"/>
        <v>-1.3184680049663546</v>
      </c>
      <c r="AD17" s="16">
        <f t="shared" si="15"/>
        <v>-0.30846006606535892</v>
      </c>
      <c r="AE17" s="16">
        <f t="shared" si="15"/>
        <v>-1.3184680049663546</v>
      </c>
      <c r="AF17" s="16">
        <f t="shared" si="15"/>
        <v>-0.30846006606535892</v>
      </c>
      <c r="AG17" s="16">
        <f t="shared" si="15"/>
        <v>-7.2310191269905955E-2</v>
      </c>
      <c r="AN17" s="3"/>
    </row>
    <row r="18" spans="1:40" ht="20.25" thickTop="1" thickBot="1">
      <c r="A18" s="2"/>
      <c r="B18" s="30" t="s">
        <v>109</v>
      </c>
      <c r="C18" s="80" t="s">
        <v>115</v>
      </c>
      <c r="D18" s="87">
        <v>8.5000000000000006E-2</v>
      </c>
      <c r="E18" s="72" t="s">
        <v>105</v>
      </c>
      <c r="F18" s="74" t="s">
        <v>130</v>
      </c>
      <c r="G18" s="92"/>
      <c r="H18" s="79" t="s">
        <v>13</v>
      </c>
      <c r="I18" s="18">
        <f t="shared" si="13"/>
        <v>25.757987810475413</v>
      </c>
      <c r="J18" s="49" t="s">
        <v>49</v>
      </c>
      <c r="K18" s="62"/>
      <c r="L18" s="94" t="s">
        <v>75</v>
      </c>
      <c r="M18" s="94"/>
      <c r="N18" s="94"/>
      <c r="O18" s="94"/>
      <c r="P18" s="94"/>
      <c r="Q18" s="94"/>
      <c r="R18" s="94"/>
      <c r="T18" s="3"/>
      <c r="U18" s="89"/>
      <c r="V18" s="9"/>
      <c r="W18" s="79" t="s">
        <v>88</v>
      </c>
      <c r="X18" s="16">
        <f>IF(X3&lt;($I$29/2),X12*($D$21+AVERAGE(X6:X7)*$D$24)+X13*($D$22+AVERAGE(X6:X7)*$D$25)+X15*($D$23+AVERAGE(X6:X7)*$D$26),X12*($D$21+AVERAGE(X6:X7)*$D$24)+X13*($D$22+AVERAGE(X6:X7)*$D$25)+X15*($D$23+AVERAGE(X6:X7)*$D$26))</f>
        <v>0.38843021476881762</v>
      </c>
      <c r="Y18" s="16">
        <f t="shared" ref="Y18:AG18" si="16">IF(Y3&lt;($I$29/2),Y12*($D$21+AVERAGE(Y6:Y7)*$D$24)+Y13*($D$22+AVERAGE(Y6:Y7)*$D$25)+Y15*($D$23+AVERAGE(Y6:Y7)*$D$26),Y12*($D$21+AVERAGE(Y6:Y7)*$D$24)+Y13*($D$22+AVERAGE(Y6:Y7)*$D$25)+Y15*($D$23+AVERAGE(Y6:Y7)*$D$26))</f>
        <v>-0.19321431890704482</v>
      </c>
      <c r="Z18" s="16">
        <f t="shared" si="16"/>
        <v>-1.0007884773640431E-3</v>
      </c>
      <c r="AA18" s="16">
        <f t="shared" si="16"/>
        <v>-0.1932143189070448</v>
      </c>
      <c r="AB18" s="16">
        <f t="shared" si="16"/>
        <v>-1.0007884773640396E-3</v>
      </c>
      <c r="AC18" s="16">
        <f t="shared" si="16"/>
        <v>-1.0007884773640396E-3</v>
      </c>
      <c r="AD18" s="16">
        <f t="shared" si="16"/>
        <v>-0.1932143189070448</v>
      </c>
      <c r="AE18" s="16">
        <f t="shared" si="16"/>
        <v>-1.0007884773640327E-3</v>
      </c>
      <c r="AF18" s="16">
        <f t="shared" si="16"/>
        <v>-0.1932143189070448</v>
      </c>
      <c r="AG18" s="16">
        <f t="shared" si="16"/>
        <v>0.38843021476881773</v>
      </c>
      <c r="AN18" s="3"/>
    </row>
    <row r="19" spans="1:40" ht="20.25" thickTop="1" thickBot="1">
      <c r="A19" s="2"/>
      <c r="B19" s="29" t="s">
        <v>106</v>
      </c>
      <c r="C19" s="55" t="s">
        <v>4</v>
      </c>
      <c r="D19" s="88">
        <v>0.15</v>
      </c>
      <c r="E19" s="63" t="s">
        <v>107</v>
      </c>
      <c r="F19" s="75"/>
      <c r="G19" s="92"/>
      <c r="H19" s="79" t="s">
        <v>50</v>
      </c>
      <c r="I19" s="18">
        <f t="shared" si="13"/>
        <v>2.3949310032232058</v>
      </c>
      <c r="J19" s="49" t="s">
        <v>49</v>
      </c>
      <c r="K19" s="62"/>
      <c r="L19" s="1">
        <f>$I$4/I33</f>
        <v>80889394746.17244</v>
      </c>
      <c r="M19" s="1">
        <f>$I$5/$I$33</f>
        <v>16408102755.84206</v>
      </c>
      <c r="N19" s="1">
        <f>$I$8</f>
        <v>4.0167244479814937E-10</v>
      </c>
      <c r="O19" s="95" t="s">
        <v>11</v>
      </c>
      <c r="P19" s="1">
        <f t="array" ref="P19:R21">MINVERSE($L$19:$N$21)</f>
        <v>1.3199268435187066E-11</v>
      </c>
      <c r="Q19" s="1">
        <v>-4.1248422088557864E-12</v>
      </c>
      <c r="R19" s="1">
        <v>-1.9777567852067023E-31</v>
      </c>
      <c r="T19" s="3"/>
      <c r="U19" s="89"/>
      <c r="V19" s="14"/>
      <c r="W19" s="56" t="s">
        <v>89</v>
      </c>
      <c r="X19" s="20">
        <f>IF(X3&lt;($I$29/2),X14*($D$21+AVERAGE(X6:X7)*$D$24)+X15*($D$22+AVERAGE(X6:X7)*$D$25)+X16*($D$23+AVERAGE(X6:X7)*$D$26),X14*($D$21+AVERAGE(X6:X7)*$D$24)+X15*($D$22+AVERAGE(X6:X7)*$D$25)+X16*($D$23+AVERAGE(X6:X7)*$D$26))</f>
        <v>2.2008142061585721E-17</v>
      </c>
      <c r="Y19" s="20">
        <f t="shared" ref="Y19:AG19" si="17">IF(Y3&lt;($I$29/2),Y14*($D$21+AVERAGE(Y6:Y7)*$D$24)+Y15*($D$22+AVERAGE(Y6:Y7)*$D$25)+Y16*($D$23+AVERAGE(Y6:Y7)*$D$26),Y14*($D$21+AVERAGE(Y6:Y7)*$D$24)+Y15*($D$22+AVERAGE(Y6:Y7)*$D$25)+Y16*($D$23+AVERAGE(Y6:Y7)*$D$26))</f>
        <v>-0.21418170261256686</v>
      </c>
      <c r="Z19" s="20">
        <f t="shared" si="17"/>
        <v>6.6381939709188341E-19</v>
      </c>
      <c r="AA19" s="20">
        <f t="shared" si="17"/>
        <v>0.21418170261256686</v>
      </c>
      <c r="AB19" s="20">
        <f t="shared" si="17"/>
        <v>4.8360910792376838E-19</v>
      </c>
      <c r="AC19" s="20">
        <f t="shared" si="17"/>
        <v>3.9350396333971092E-19</v>
      </c>
      <c r="AD19" s="20">
        <f t="shared" si="17"/>
        <v>0.21418170261256686</v>
      </c>
      <c r="AE19" s="20">
        <f t="shared" si="17"/>
        <v>2.1329367417159595E-19</v>
      </c>
      <c r="AF19" s="20">
        <f t="shared" si="17"/>
        <v>-0.21418170261256683</v>
      </c>
      <c r="AG19" s="20">
        <f t="shared" si="17"/>
        <v>2.1197195760329212E-17</v>
      </c>
      <c r="AN19" s="3"/>
    </row>
    <row r="20" spans="1:40" ht="20.25" thickTop="1" thickBot="1">
      <c r="A20" s="2"/>
      <c r="B20" s="12"/>
      <c r="C20" s="56" t="s">
        <v>53</v>
      </c>
      <c r="D20" s="32">
        <v>1.4999999999999999E-4</v>
      </c>
      <c r="E20" s="58" t="s">
        <v>34</v>
      </c>
      <c r="F20" s="75"/>
      <c r="G20" s="92"/>
      <c r="H20" s="79" t="s">
        <v>51</v>
      </c>
      <c r="I20" s="18">
        <f t="shared" si="13"/>
        <v>2.3949310032232063</v>
      </c>
      <c r="J20" s="49" t="s">
        <v>49</v>
      </c>
      <c r="K20" s="62"/>
      <c r="L20" s="1">
        <f>$I$5/$I$33</f>
        <v>16408102755.84206</v>
      </c>
      <c r="M20" s="1">
        <f>$I$6/$I$33</f>
        <v>52505027300.564049</v>
      </c>
      <c r="N20" s="1">
        <f>$I$8</f>
        <v>4.0167244479814937E-10</v>
      </c>
      <c r="O20" s="95"/>
      <c r="P20" s="1">
        <v>-4.1248422088557864E-12</v>
      </c>
      <c r="Q20" s="1">
        <v>2.0334830581129331E-11</v>
      </c>
      <c r="R20" s="1">
        <v>-3.5329412231441028E-31</v>
      </c>
      <c r="T20" s="3"/>
      <c r="U20" s="89"/>
      <c r="V20" s="9" t="s">
        <v>96</v>
      </c>
      <c r="W20" s="79" t="s">
        <v>90</v>
      </c>
      <c r="X20" s="16">
        <f>(X17+X18)/2+(X17-X18)/2*COS(2*X5)+X19*SIN(2*X5)</f>
        <v>0.38843021476881762</v>
      </c>
      <c r="Y20" s="16">
        <f t="shared" ref="Y20:AG20" si="18">(Y17+Y18)/2+(Y17-Y18)/2*COS(2*Y5)+Y19*SIN(2*Y5)</f>
        <v>-0.4650188950987687</v>
      </c>
      <c r="Z20" s="16">
        <f t="shared" si="18"/>
        <v>-1.3184680049663546</v>
      </c>
      <c r="AA20" s="16">
        <f t="shared" si="18"/>
        <v>-0.4650188950987687</v>
      </c>
      <c r="AB20" s="16">
        <f t="shared" si="18"/>
        <v>-1.3184680049663546</v>
      </c>
      <c r="AC20" s="16">
        <f t="shared" si="18"/>
        <v>-1.3184680049663546</v>
      </c>
      <c r="AD20" s="16">
        <f t="shared" si="18"/>
        <v>-0.4650188950987687</v>
      </c>
      <c r="AE20" s="16">
        <f t="shared" si="18"/>
        <v>-1.3184680049663546</v>
      </c>
      <c r="AF20" s="16">
        <f t="shared" si="18"/>
        <v>-0.4650188950987687</v>
      </c>
      <c r="AG20" s="16">
        <f t="shared" si="18"/>
        <v>0.38843021476881773</v>
      </c>
      <c r="AN20" s="3"/>
    </row>
    <row r="21" spans="1:40" ht="20.25" thickTop="1" thickBot="1">
      <c r="A21" s="2"/>
      <c r="B21" s="11" t="s">
        <v>69</v>
      </c>
      <c r="C21" s="81" t="s">
        <v>19</v>
      </c>
      <c r="D21" s="13">
        <f t="array" ref="D21:D26">MMULT(L11:Q16,D27:D32)</f>
        <v>-8.7805924587497121E-3</v>
      </c>
      <c r="E21" s="59"/>
      <c r="F21" s="75"/>
      <c r="G21" s="93"/>
      <c r="H21" s="56" t="s">
        <v>52</v>
      </c>
      <c r="I21" s="19">
        <f t="shared" si="13"/>
        <v>4.7301014320709083</v>
      </c>
      <c r="J21" s="58" t="s">
        <v>49</v>
      </c>
      <c r="K21" s="62"/>
      <c r="L21" s="1">
        <f>$I$8/I33</f>
        <v>2.677816298654329E-7</v>
      </c>
      <c r="M21" s="1">
        <f>$I$8</f>
        <v>4.0167244479814937E-10</v>
      </c>
      <c r="N21" s="1">
        <f>$I$9/$I$33</f>
        <v>18429702755.84206</v>
      </c>
      <c r="O21" s="95"/>
      <c r="P21" s="1">
        <v>-1.9169407265841163E-28</v>
      </c>
      <c r="Q21" s="1">
        <v>5.949032618898373E-29</v>
      </c>
      <c r="R21" s="1">
        <v>5.4260234863690815E-11</v>
      </c>
      <c r="T21" s="3"/>
      <c r="U21" s="89"/>
      <c r="V21" s="9"/>
      <c r="W21" s="79" t="s">
        <v>91</v>
      </c>
      <c r="X21" s="16">
        <f>(X17+X18)/2-(X17-X18)/2*COS(2*X5)-X19*SIN(2*X5)</f>
        <v>-7.2310191269905955E-2</v>
      </c>
      <c r="Y21" s="16">
        <f t="shared" ref="Y21:AG21" si="19">(Y17+Y18)/2-(Y17-Y18)/2*COS(2*Y5)-Y19*SIN(2*Y5)</f>
        <v>-3.6655489873634983E-2</v>
      </c>
      <c r="Z21" s="16">
        <f t="shared" si="19"/>
        <v>-1.0007884773639564E-3</v>
      </c>
      <c r="AA21" s="16">
        <f t="shared" si="19"/>
        <v>-3.6655489873634983E-2</v>
      </c>
      <c r="AB21" s="16">
        <f t="shared" si="19"/>
        <v>-1.0007884773639564E-3</v>
      </c>
      <c r="AC21" s="16">
        <f t="shared" si="19"/>
        <v>-1.0007884773639564E-3</v>
      </c>
      <c r="AD21" s="16">
        <f t="shared" si="19"/>
        <v>-3.6655489873634983E-2</v>
      </c>
      <c r="AE21" s="16">
        <f t="shared" si="19"/>
        <v>-1.0007884773639564E-3</v>
      </c>
      <c r="AF21" s="16">
        <f t="shared" si="19"/>
        <v>-3.6655489873635011E-2</v>
      </c>
      <c r="AG21" s="16">
        <f t="shared" si="19"/>
        <v>-7.2310191269905955E-2</v>
      </c>
      <c r="AN21" s="3"/>
    </row>
    <row r="22" spans="1:40" ht="20.25" thickTop="1" thickBot="1">
      <c r="A22" s="2"/>
      <c r="B22" s="1"/>
      <c r="C22" s="79" t="s">
        <v>20</v>
      </c>
      <c r="D22" s="16">
        <v>2.7439822570816835E-3</v>
      </c>
      <c r="E22" s="49"/>
      <c r="F22" s="75"/>
      <c r="G22" s="1"/>
      <c r="H22" s="25" t="s">
        <v>15</v>
      </c>
      <c r="I22" s="18">
        <f>D11/(1-D12*D15)</f>
        <v>151.08783239323125</v>
      </c>
      <c r="J22" s="67" t="s">
        <v>9</v>
      </c>
      <c r="K22" s="62"/>
      <c r="L22" s="52"/>
      <c r="M22" s="45"/>
      <c r="N22" s="45"/>
      <c r="Q22" s="52"/>
      <c r="R22" s="52"/>
      <c r="S22" s="52"/>
      <c r="T22" s="3"/>
      <c r="U22" s="89"/>
      <c r="V22" s="14"/>
      <c r="W22" s="56" t="s">
        <v>92</v>
      </c>
      <c r="X22" s="20">
        <f>-((X17-X18)/2)*SIN(2*X5)+X19*COS(2*X5)</f>
        <v>6.2156277670299009E-18</v>
      </c>
      <c r="Y22" s="20">
        <f t="shared" ref="Y22:AG22" si="20">-((Y17-Y18)/2)*SIN(2*Y5)+Y19*COS(2*Y5)</f>
        <v>5.7622873579157033E-2</v>
      </c>
      <c r="Z22" s="20">
        <f t="shared" si="20"/>
        <v>6.6381939709188341E-19</v>
      </c>
      <c r="AA22" s="20">
        <f t="shared" si="20"/>
        <v>-5.7622873579157047E-2</v>
      </c>
      <c r="AB22" s="20">
        <f t="shared" si="20"/>
        <v>4.8360910792376838E-19</v>
      </c>
      <c r="AC22" s="20">
        <f t="shared" si="20"/>
        <v>3.9350396333971092E-19</v>
      </c>
      <c r="AD22" s="20">
        <f t="shared" si="20"/>
        <v>-5.7622873579157047E-2</v>
      </c>
      <c r="AE22" s="20">
        <f t="shared" si="20"/>
        <v>2.1329367417159595E-19</v>
      </c>
      <c r="AF22" s="20">
        <f t="shared" si="20"/>
        <v>5.7622873579157047E-2</v>
      </c>
      <c r="AG22" s="20">
        <f t="shared" si="20"/>
        <v>7.0265740682864158E-18</v>
      </c>
      <c r="AN22" s="3"/>
    </row>
    <row r="23" spans="1:40" ht="19.5" thickTop="1">
      <c r="A23" s="2"/>
      <c r="B23" s="1"/>
      <c r="C23" s="79" t="s">
        <v>23</v>
      </c>
      <c r="D23" s="16">
        <v>8.7711307126347933E-20</v>
      </c>
      <c r="E23" s="49"/>
      <c r="F23" s="75"/>
      <c r="G23" s="1"/>
      <c r="H23" s="25" t="s">
        <v>16</v>
      </c>
      <c r="I23" s="18">
        <f>(D15*D11)*(1-D12*D15)</f>
        <v>2.9784000000000002</v>
      </c>
      <c r="J23" s="67" t="s">
        <v>9</v>
      </c>
      <c r="K23" s="62"/>
      <c r="L23" s="52"/>
      <c r="M23" s="45"/>
      <c r="N23" s="45"/>
      <c r="Q23" s="52"/>
      <c r="R23" s="52"/>
      <c r="S23" s="52"/>
      <c r="T23" s="3"/>
      <c r="U23" s="89"/>
      <c r="V23" s="9" t="s">
        <v>21</v>
      </c>
      <c r="W23" s="79" t="s">
        <v>22</v>
      </c>
      <c r="X23" s="46">
        <f>IF(X20=0,"",IF(X20&gt;0,$D$4/X20,$D$10/X20))</f>
        <v>7.7233950551079369</v>
      </c>
      <c r="Y23" s="46">
        <f t="shared" ref="Y23:AG23" si="21">IF(Y20=0,"",IF(Y20&gt;0,$D$4/Y20,$D$10/Y20))</f>
        <v>3.2256753775164433</v>
      </c>
      <c r="Z23" s="46">
        <f t="shared" si="21"/>
        <v>1.1376840350693818</v>
      </c>
      <c r="AA23" s="46">
        <f t="shared" si="21"/>
        <v>3.2256753775164433</v>
      </c>
      <c r="AB23" s="46">
        <f t="shared" si="21"/>
        <v>1.1376840350693818</v>
      </c>
      <c r="AC23" s="46">
        <f t="shared" si="21"/>
        <v>1.1376840350693818</v>
      </c>
      <c r="AD23" s="46">
        <f t="shared" si="21"/>
        <v>3.2256753775164433</v>
      </c>
      <c r="AE23" s="46">
        <f t="shared" si="21"/>
        <v>1.1376840350693818</v>
      </c>
      <c r="AF23" s="46">
        <f t="shared" si="21"/>
        <v>3.2256753775164433</v>
      </c>
      <c r="AG23" s="46">
        <f t="shared" si="21"/>
        <v>7.7233950551079351</v>
      </c>
      <c r="AN23" s="3"/>
    </row>
    <row r="24" spans="1:40">
      <c r="A24" s="2"/>
      <c r="B24" s="1"/>
      <c r="C24" s="79" t="s">
        <v>66</v>
      </c>
      <c r="D24" s="16">
        <v>-3.0723922803320872E-16</v>
      </c>
      <c r="E24" s="49" t="s">
        <v>72</v>
      </c>
      <c r="F24" s="75"/>
      <c r="G24" s="1"/>
      <c r="H24" s="25" t="s">
        <v>17</v>
      </c>
      <c r="I24" s="18">
        <f>D14/(1-D12*D15)</f>
        <v>9.1659951651893632</v>
      </c>
      <c r="J24" s="67" t="s">
        <v>6</v>
      </c>
      <c r="K24" s="62"/>
      <c r="L24" s="52"/>
      <c r="M24" s="45"/>
      <c r="N24" s="45"/>
      <c r="Q24" s="52"/>
      <c r="R24" s="52"/>
      <c r="S24" s="52"/>
      <c r="T24" s="3"/>
      <c r="U24" s="89"/>
      <c r="V24" s="9"/>
      <c r="W24" s="79" t="s">
        <v>24</v>
      </c>
      <c r="X24" s="46">
        <f>IF(X21=0,"",IF(X21&gt;0,$D$7/X21,$D$13/X21))</f>
        <v>2.4892756724723584</v>
      </c>
      <c r="Y24" s="46">
        <f t="shared" ref="Y24:AG24" si="22">IF(Y21=0,"",IF(Y21&gt;0,$D$7/Y21,$D$13/Y21))</f>
        <v>4.9105877624477667</v>
      </c>
      <c r="Z24" s="46">
        <f t="shared" si="22"/>
        <v>179.85818589170213</v>
      </c>
      <c r="AA24" s="46">
        <f t="shared" si="22"/>
        <v>4.9105877624477667</v>
      </c>
      <c r="AB24" s="46">
        <f t="shared" si="22"/>
        <v>179.85818589170213</v>
      </c>
      <c r="AC24" s="46">
        <f t="shared" si="22"/>
        <v>179.85818589170213</v>
      </c>
      <c r="AD24" s="46">
        <f t="shared" si="22"/>
        <v>4.9105877624477667</v>
      </c>
      <c r="AE24" s="46">
        <f t="shared" si="22"/>
        <v>179.85818589170213</v>
      </c>
      <c r="AF24" s="46">
        <f t="shared" si="22"/>
        <v>4.9105877624477632</v>
      </c>
      <c r="AG24" s="46">
        <f t="shared" si="22"/>
        <v>2.4892756724723584</v>
      </c>
      <c r="AN24" s="3"/>
    </row>
    <row r="25" spans="1:40" ht="19.5" thickBot="1">
      <c r="A25" s="2"/>
      <c r="B25" s="1"/>
      <c r="C25" s="79" t="s">
        <v>67</v>
      </c>
      <c r="D25" s="16">
        <v>6.2025546830517008E-16</v>
      </c>
      <c r="E25" s="49" t="s">
        <v>72</v>
      </c>
      <c r="F25" s="75"/>
      <c r="G25" s="12"/>
      <c r="H25" s="35" t="s">
        <v>18</v>
      </c>
      <c r="I25" s="19">
        <f>D17</f>
        <v>5</v>
      </c>
      <c r="J25" s="68" t="s">
        <v>9</v>
      </c>
      <c r="K25" s="62"/>
      <c r="L25" s="52"/>
      <c r="M25" s="45"/>
      <c r="N25" s="45"/>
      <c r="Q25" s="52"/>
      <c r="R25" s="52"/>
      <c r="S25" s="52"/>
      <c r="T25" s="3"/>
      <c r="U25" s="89"/>
      <c r="V25" s="14"/>
      <c r="W25" s="56" t="s">
        <v>25</v>
      </c>
      <c r="X25" s="47">
        <f>IF(X22=0,"",$D$16/ABS(X22))</f>
        <v>2.0110599393201836E+16</v>
      </c>
      <c r="Y25" s="47">
        <f t="shared" ref="Y25:AG25" si="23">IF(Y22=0,"",$D$16/ABS(Y22))</f>
        <v>2.1692774454971677</v>
      </c>
      <c r="Z25" s="47">
        <f t="shared" si="23"/>
        <v>1.883042293545664E+17</v>
      </c>
      <c r="AA25" s="47">
        <f t="shared" si="23"/>
        <v>2.1692774454971673</v>
      </c>
      <c r="AB25" s="47">
        <f t="shared" si="23"/>
        <v>2.5847321308039514E+17</v>
      </c>
      <c r="AC25" s="47">
        <f t="shared" si="23"/>
        <v>3.1765880815814765E+17</v>
      </c>
      <c r="AD25" s="47">
        <f t="shared" si="23"/>
        <v>2.1692774454971673</v>
      </c>
      <c r="AE25" s="47">
        <f t="shared" si="23"/>
        <v>5.8604644739457587E+17</v>
      </c>
      <c r="AF25" s="47">
        <f t="shared" si="23"/>
        <v>2.1692774454971673</v>
      </c>
      <c r="AG25" s="47">
        <f t="shared" si="23"/>
        <v>1.778960824794721E+16</v>
      </c>
      <c r="AN25" s="3"/>
    </row>
    <row r="26" spans="1:40" ht="20.25" thickTop="1" thickBot="1">
      <c r="A26" s="2"/>
      <c r="B26" s="12"/>
      <c r="C26" s="56" t="s">
        <v>68</v>
      </c>
      <c r="D26" s="20">
        <v>-1.2014019277874332E-16</v>
      </c>
      <c r="E26" s="58" t="s">
        <v>72</v>
      </c>
      <c r="F26" s="75"/>
      <c r="G26" s="11" t="s">
        <v>80</v>
      </c>
      <c r="H26" s="34" t="s">
        <v>29</v>
      </c>
      <c r="I26" s="13">
        <f>(1/P19)*10^-9</f>
        <v>75.761774594580217</v>
      </c>
      <c r="J26" s="69" t="s">
        <v>30</v>
      </c>
      <c r="K26" s="61" t="s">
        <v>14</v>
      </c>
      <c r="L26" s="45"/>
      <c r="M26" s="45"/>
      <c r="N26" s="45"/>
      <c r="Q26" s="52"/>
      <c r="R26" s="52"/>
      <c r="S26" s="52"/>
      <c r="T26" s="3"/>
      <c r="U26" s="89"/>
      <c r="V26" s="45"/>
      <c r="W26" s="82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N26" s="3"/>
    </row>
    <row r="27" spans="1:40" ht="19.5" thickTop="1">
      <c r="A27" s="2"/>
      <c r="B27" s="1" t="s">
        <v>70</v>
      </c>
      <c r="C27" s="24" t="s">
        <v>60</v>
      </c>
      <c r="D27" s="7">
        <v>-997849.89999999979</v>
      </c>
      <c r="E27" s="49" t="s">
        <v>73</v>
      </c>
      <c r="F27" s="75"/>
      <c r="G27" s="1"/>
      <c r="H27" s="33" t="s">
        <v>31</v>
      </c>
      <c r="I27" s="16">
        <f>(1/R21)*(10^-9)</f>
        <v>18.429702755842062</v>
      </c>
      <c r="J27" s="70" t="s">
        <v>30</v>
      </c>
      <c r="K27" s="62"/>
      <c r="L27" s="52"/>
      <c r="M27" s="45"/>
      <c r="N27" s="45"/>
      <c r="Q27" s="52"/>
      <c r="R27" s="52"/>
      <c r="S27" s="52"/>
      <c r="T27" s="3"/>
      <c r="U27" s="89"/>
      <c r="V27" s="83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N27" s="3"/>
    </row>
    <row r="28" spans="1:40">
      <c r="A28" s="2"/>
      <c r="B28" s="1"/>
      <c r="C28" s="24" t="s">
        <v>59</v>
      </c>
      <c r="D28" s="48">
        <v>0</v>
      </c>
      <c r="E28" s="49" t="s">
        <v>73</v>
      </c>
      <c r="F28" s="75"/>
      <c r="G28" s="39"/>
      <c r="H28" s="40" t="s">
        <v>32</v>
      </c>
      <c r="I28" s="41">
        <v>0.33</v>
      </c>
      <c r="J28" s="60" t="s">
        <v>54</v>
      </c>
      <c r="K28" s="62"/>
      <c r="L28" s="52"/>
      <c r="M28" s="45"/>
      <c r="N28" s="45"/>
      <c r="Q28" s="52"/>
      <c r="R28" s="52"/>
      <c r="S28" s="52"/>
      <c r="T28" s="3"/>
      <c r="U28" s="2"/>
      <c r="V28" s="54"/>
      <c r="AN28" s="3"/>
    </row>
    <row r="29" spans="1:40" ht="19.5" thickBot="1">
      <c r="A29" s="2"/>
      <c r="B29" s="12"/>
      <c r="C29" s="31" t="s">
        <v>58</v>
      </c>
      <c r="D29" s="98">
        <v>0</v>
      </c>
      <c r="E29" s="58" t="s">
        <v>73</v>
      </c>
      <c r="F29" s="75"/>
      <c r="G29" s="25" t="s">
        <v>8</v>
      </c>
      <c r="H29" s="79" t="s">
        <v>79</v>
      </c>
      <c r="I29" s="48">
        <v>10</v>
      </c>
      <c r="J29" s="49" t="s">
        <v>76</v>
      </c>
      <c r="K29" s="62"/>
      <c r="L29" s="52"/>
      <c r="M29" s="45"/>
      <c r="N29" s="45"/>
      <c r="Q29" s="52"/>
      <c r="R29" s="52"/>
      <c r="S29" s="52"/>
      <c r="T29" s="3"/>
      <c r="U29" s="2"/>
      <c r="AN29" s="3"/>
    </row>
    <row r="30" spans="1:40" ht="19.5" thickTop="1">
      <c r="A30" s="27"/>
      <c r="B30" s="1" t="s">
        <v>71</v>
      </c>
      <c r="C30" s="79" t="s">
        <v>61</v>
      </c>
      <c r="D30" s="48">
        <v>0</v>
      </c>
      <c r="E30" s="77" t="s">
        <v>74</v>
      </c>
      <c r="F30" s="75"/>
      <c r="G30" s="1"/>
      <c r="H30" s="1" t="s">
        <v>98</v>
      </c>
      <c r="I30" s="8"/>
      <c r="J30" s="49" t="s">
        <v>76</v>
      </c>
      <c r="K30" s="62"/>
      <c r="L30" s="52"/>
      <c r="M30" s="45"/>
      <c r="N30" s="45"/>
      <c r="Q30" s="52"/>
      <c r="R30" s="52"/>
      <c r="S30" s="52"/>
      <c r="T30" s="3"/>
      <c r="U30" s="2"/>
      <c r="W30" s="54"/>
      <c r="AN30" s="3"/>
    </row>
    <row r="31" spans="1:40">
      <c r="A31" s="2"/>
      <c r="B31" s="1"/>
      <c r="C31" s="79" t="s">
        <v>62</v>
      </c>
      <c r="D31" s="48">
        <v>0</v>
      </c>
      <c r="E31" s="77" t="s">
        <v>74</v>
      </c>
      <c r="F31" s="75"/>
      <c r="G31" s="1"/>
      <c r="H31" s="1" t="s">
        <v>99</v>
      </c>
      <c r="I31" s="8"/>
      <c r="J31" s="49" t="s">
        <v>76</v>
      </c>
      <c r="K31" s="62"/>
      <c r="L31" s="52"/>
      <c r="M31" s="45"/>
      <c r="N31" s="45"/>
      <c r="Q31" s="52"/>
      <c r="R31" s="52"/>
      <c r="S31" s="52"/>
      <c r="T31" s="3"/>
      <c r="U31" s="2"/>
      <c r="AN31" s="3"/>
    </row>
    <row r="32" spans="1:40" ht="19.5" thickBot="1">
      <c r="A32" s="2"/>
      <c r="B32" s="12"/>
      <c r="C32" s="56" t="s">
        <v>63</v>
      </c>
      <c r="D32" s="98">
        <v>0</v>
      </c>
      <c r="E32" s="78" t="s">
        <v>74</v>
      </c>
      <c r="F32" s="75"/>
      <c r="G32" s="25" t="s">
        <v>7</v>
      </c>
      <c r="H32" s="79" t="s">
        <v>78</v>
      </c>
      <c r="I32" s="16">
        <f>$D$19*I29</f>
        <v>1.5</v>
      </c>
      <c r="J32" s="49" t="s">
        <v>77</v>
      </c>
      <c r="K32" s="62"/>
      <c r="L32" s="52"/>
      <c r="M32" s="45"/>
      <c r="N32" s="45"/>
      <c r="Q32" s="52"/>
      <c r="R32" s="52"/>
      <c r="S32" s="52"/>
      <c r="T32" s="3"/>
      <c r="U32" s="2"/>
      <c r="AN32" s="3"/>
    </row>
    <row r="33" spans="1:40" ht="19.5" thickTop="1">
      <c r="A33" s="2"/>
      <c r="G33" s="25"/>
      <c r="H33" s="1"/>
      <c r="I33" s="16">
        <f>I32*10^-3</f>
        <v>1.5E-3</v>
      </c>
      <c r="J33" s="49" t="s">
        <v>5</v>
      </c>
      <c r="K33" s="62"/>
      <c r="L33" s="52"/>
      <c r="M33" s="45"/>
      <c r="N33" s="45"/>
      <c r="Q33" s="52"/>
      <c r="R33" s="52"/>
      <c r="S33" s="52"/>
      <c r="T33" s="3"/>
      <c r="U33" s="2"/>
      <c r="AN33" s="3"/>
    </row>
    <row r="34" spans="1:40">
      <c r="A34" s="2"/>
      <c r="E34" s="54"/>
      <c r="J34" s="54"/>
      <c r="K34" s="64"/>
      <c r="L34" s="45"/>
      <c r="M34" s="45"/>
      <c r="N34" s="45"/>
      <c r="T34" s="3"/>
      <c r="U34" s="2"/>
      <c r="AN34" s="3"/>
    </row>
    <row r="35" spans="1:40">
      <c r="A35" s="2"/>
      <c r="B35" s="45"/>
      <c r="C35" s="45"/>
      <c r="D35" s="99"/>
      <c r="E35" s="64"/>
      <c r="K35" s="45"/>
      <c r="L35" s="45"/>
      <c r="M35" s="45"/>
      <c r="N35" s="64"/>
      <c r="O35" s="54"/>
      <c r="T35" s="3"/>
      <c r="U35" s="2"/>
      <c r="AN35" s="3"/>
    </row>
    <row r="36" spans="1:40">
      <c r="A36" s="2"/>
      <c r="B36" s="45"/>
      <c r="C36" s="45"/>
      <c r="D36" s="100"/>
      <c r="E36" s="64"/>
      <c r="T36" s="3"/>
      <c r="U36" s="2"/>
      <c r="V36" s="53"/>
      <c r="AN36" s="3"/>
    </row>
    <row r="37" spans="1:40">
      <c r="A37" s="2"/>
      <c r="E37" s="54"/>
      <c r="T37" s="3"/>
      <c r="U37" s="2"/>
      <c r="V37" s="53"/>
      <c r="AN37" s="3"/>
    </row>
    <row r="38" spans="1:40">
      <c r="A38" s="2"/>
      <c r="H38" s="54"/>
      <c r="O38" s="54"/>
      <c r="T38" s="3"/>
      <c r="U38" s="2"/>
      <c r="V38" s="53"/>
      <c r="AN38" s="3"/>
    </row>
    <row r="39" spans="1:40" s="5" customFormat="1" ht="19.5" thickBot="1">
      <c r="A39" s="4"/>
      <c r="B39" s="26"/>
      <c r="C39" s="26"/>
      <c r="D39" s="26"/>
      <c r="E39" s="26"/>
      <c r="F39" s="26"/>
      <c r="G39" s="26"/>
      <c r="H39" s="26"/>
      <c r="O39" s="26"/>
      <c r="T39" s="6"/>
      <c r="U39" s="4"/>
      <c r="V39" s="36"/>
      <c r="AN39" s="6"/>
    </row>
    <row r="40" spans="1:40">
      <c r="V40" s="53"/>
    </row>
    <row r="41" spans="1:40">
      <c r="V41" s="53"/>
    </row>
    <row r="42" spans="1:40">
      <c r="V42" s="53"/>
    </row>
    <row r="43" spans="1:40">
      <c r="V43" s="53"/>
    </row>
    <row r="44" spans="1:40"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</row>
    <row r="45" spans="1:40">
      <c r="V45" s="66"/>
    </row>
    <row r="46" spans="1:40">
      <c r="V46" s="66"/>
    </row>
    <row r="47" spans="1:40">
      <c r="V47" s="66"/>
    </row>
    <row r="48" spans="1:40">
      <c r="V48" s="66"/>
    </row>
    <row r="49" spans="21:22">
      <c r="V49" s="66"/>
    </row>
    <row r="50" spans="21:22">
      <c r="V50" s="66"/>
    </row>
    <row r="51" spans="21:22">
      <c r="U51" s="66"/>
      <c r="V51" s="66"/>
    </row>
  </sheetData>
  <mergeCells count="3">
    <mergeCell ref="G16:G21"/>
    <mergeCell ref="G10:G15"/>
    <mergeCell ref="G4:G9"/>
  </mergeCells>
  <phoneticPr fontId="1"/>
  <conditionalFormatting sqref="X23:AG26">
    <cfRule type="containsText" dxfId="0" priority="1" operator="containsText" text="ブチッ！">
      <formula>NOT(ISERROR(SEARCH("ブチッ！",X23)))</formula>
    </cfRule>
  </conditionalFormatting>
  <printOptions horizontalCentered="1" verticalCentered="1"/>
  <pageMargins left="0.25" right="0.25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古典積層理論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2019-10-03T11:23:39Z</dcterms:created>
  <dcterms:modified xsi:type="dcterms:W3CDTF">2021-11-24T07:49:56Z</dcterms:modified>
</cp:coreProperties>
</file>