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 defaultThemeVersion="166925"/>
  <xr:revisionPtr revIDLastSave="259" documentId="8_{847387B3-AD54-4AE1-8560-0E0E94EB860B}" xr6:coauthVersionLast="45" xr6:coauthVersionMax="45" xr10:uidLastSave="{889EBDE3-A775-4F41-8EB2-0E67894CB2A5}"/>
  <bookViews>
    <workbookView xWindow="-120" yWindow="-120" windowWidth="29040" windowHeight="15840" xr2:uid="{D9C9F3EE-43DE-401C-928D-CB55F4951D5F}"/>
  </bookViews>
  <sheets>
    <sheet name="Specification" sheetId="5" r:id="rId1"/>
    <sheet name="MainWing_a=1.50_v=9.60ms.txt" sheetId="1" r:id="rId2"/>
    <sheet name="MainWing.xwimp" sheetId="4" r:id="rId3"/>
    <sheet name="Elevator.xwimp" sheetId="2" r:id="rId4"/>
    <sheet name="Fin.xwimp" sheetId="3" r:id="rId5"/>
    <sheet name="Propertie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5" l="1"/>
  <c r="D4" i="5"/>
  <c r="C4" i="5"/>
  <c r="B4" i="5"/>
  <c r="C3" i="5"/>
  <c r="B2" i="5"/>
  <c r="I42" i="6"/>
  <c r="J41" i="6"/>
  <c r="H37" i="6"/>
  <c r="I41" i="6"/>
  <c r="H41" i="6"/>
  <c r="J37" i="6"/>
  <c r="E36" i="6"/>
  <c r="E44" i="6"/>
  <c r="E43" i="6"/>
  <c r="E42" i="6"/>
  <c r="E41" i="6"/>
  <c r="E40" i="6"/>
  <c r="E39" i="6"/>
  <c r="E38" i="6"/>
  <c r="E37" i="6"/>
  <c r="G6" i="5"/>
  <c r="G7" i="5"/>
  <c r="G8" i="5"/>
  <c r="G9" i="5"/>
  <c r="G10" i="5"/>
  <c r="G11" i="5"/>
  <c r="G12" i="5"/>
  <c r="G13" i="5"/>
  <c r="G14" i="5"/>
  <c r="G15" i="5"/>
  <c r="G16" i="5"/>
  <c r="G17" i="5"/>
  <c r="J17" i="5"/>
  <c r="J16" i="5"/>
  <c r="J15" i="5"/>
  <c r="J14" i="5"/>
  <c r="J13" i="5"/>
  <c r="J11" i="5"/>
  <c r="J9" i="5"/>
  <c r="J8" i="5"/>
  <c r="J7" i="5"/>
  <c r="J12" i="5"/>
  <c r="J10" i="5"/>
  <c r="J6" i="5"/>
  <c r="G24" i="5"/>
  <c r="B23" i="5"/>
  <c r="B16" i="5"/>
  <c r="G23" i="5"/>
  <c r="B15" i="5"/>
  <c r="B14" i="5"/>
  <c r="B13" i="5"/>
  <c r="B9" i="5"/>
  <c r="G20" i="5"/>
  <c r="G22" i="5"/>
  <c r="B22" i="5"/>
  <c r="B21" i="5"/>
  <c r="B8" i="5"/>
  <c r="B7" i="5"/>
  <c r="B17" i="5"/>
  <c r="L3" i="3"/>
  <c r="L2" i="3"/>
  <c r="L1" i="3" s="1"/>
  <c r="M1" i="3"/>
  <c r="M1" i="2"/>
  <c r="L1" i="2"/>
  <c r="L2" i="2"/>
  <c r="L3" i="2"/>
  <c r="B19" i="5" l="1"/>
  <c r="Q23" i="1" l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22" i="1"/>
  <c r="L2" i="4" a="1"/>
  <c r="L2" i="4" s="1"/>
  <c r="L6" i="4" a="1"/>
  <c r="M6" i="4" s="1"/>
  <c r="L5" i="4" a="1"/>
  <c r="M5" i="4" s="1"/>
  <c r="L4" i="4" a="1"/>
  <c r="M4" i="4" s="1"/>
  <c r="L3" i="4" a="1"/>
  <c r="M3" i="4" s="1"/>
  <c r="M2" i="4" l="1"/>
  <c r="L4" i="4"/>
  <c r="L5" i="4"/>
  <c r="L3" i="4"/>
  <c r="L6" i="4"/>
  <c r="B20" i="1" l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22" i="1"/>
  <c r="N20" i="1" l="1"/>
  <c r="Z28" i="1" s="1"/>
  <c r="Z36" i="1"/>
  <c r="Y25" i="1"/>
  <c r="Y33" i="1"/>
  <c r="Y22" i="1"/>
  <c r="X29" i="1"/>
  <c r="X37" i="1"/>
  <c r="W26" i="1"/>
  <c r="V23" i="1"/>
  <c r="V31" i="1"/>
  <c r="V39" i="1"/>
  <c r="U29" i="1"/>
  <c r="U37" i="1"/>
  <c r="T25" i="1"/>
  <c r="T33" i="1"/>
  <c r="S22" i="1"/>
  <c r="S30" i="1"/>
  <c r="S38" i="1"/>
  <c r="R27" i="1"/>
  <c r="R35" i="1"/>
  <c r="S29" i="1"/>
  <c r="Z29" i="1"/>
  <c r="Z37" i="1"/>
  <c r="Y26" i="1"/>
  <c r="Y34" i="1"/>
  <c r="X22" i="1"/>
  <c r="X30" i="1"/>
  <c r="X38" i="1"/>
  <c r="W27" i="1"/>
  <c r="W35" i="1"/>
  <c r="V24" i="1"/>
  <c r="V32" i="1"/>
  <c r="V40" i="1"/>
  <c r="U30" i="1"/>
  <c r="U38" i="1"/>
  <c r="T26" i="1"/>
  <c r="T34" i="1"/>
  <c r="S23" i="1"/>
  <c r="S31" i="1"/>
  <c r="S39" i="1"/>
  <c r="R28" i="1"/>
  <c r="R36" i="1"/>
  <c r="T40" i="1"/>
  <c r="Z30" i="1"/>
  <c r="Z38" i="1"/>
  <c r="Y27" i="1"/>
  <c r="Y35" i="1"/>
  <c r="X23" i="1"/>
  <c r="X31" i="1"/>
  <c r="X39" i="1"/>
  <c r="W28" i="1"/>
  <c r="W36" i="1"/>
  <c r="V25" i="1"/>
  <c r="V33" i="1"/>
  <c r="U23" i="1"/>
  <c r="U31" i="1"/>
  <c r="U39" i="1"/>
  <c r="T27" i="1"/>
  <c r="T35" i="1"/>
  <c r="S24" i="1"/>
  <c r="S32" i="1"/>
  <c r="S40" i="1"/>
  <c r="R29" i="1"/>
  <c r="R37" i="1"/>
  <c r="Z23" i="1"/>
  <c r="Z31" i="1"/>
  <c r="Y28" i="1"/>
  <c r="Y36" i="1"/>
  <c r="X32" i="1"/>
  <c r="W29" i="1"/>
  <c r="V26" i="1"/>
  <c r="U24" i="1"/>
  <c r="U40" i="1"/>
  <c r="T28" i="1"/>
  <c r="S25" i="1"/>
  <c r="R22" i="1"/>
  <c r="R38" i="1"/>
  <c r="T22" i="1"/>
  <c r="T38" i="1"/>
  <c r="R24" i="1"/>
  <c r="Y23" i="1"/>
  <c r="X35" i="1"/>
  <c r="V37" i="1"/>
  <c r="S28" i="1"/>
  <c r="R33" i="1"/>
  <c r="Z35" i="1"/>
  <c r="Y40" i="1"/>
  <c r="W25" i="1"/>
  <c r="V30" i="1"/>
  <c r="U36" i="1"/>
  <c r="S37" i="1"/>
  <c r="Z39" i="1"/>
  <c r="X24" i="1"/>
  <c r="X40" i="1"/>
  <c r="W37" i="1"/>
  <c r="V34" i="1"/>
  <c r="U32" i="1"/>
  <c r="T36" i="1"/>
  <c r="S33" i="1"/>
  <c r="R30" i="1"/>
  <c r="U26" i="1"/>
  <c r="S27" i="1"/>
  <c r="R32" i="1"/>
  <c r="Z34" i="1"/>
  <c r="Y39" i="1"/>
  <c r="X27" i="1"/>
  <c r="W32" i="1"/>
  <c r="V29" i="1"/>
  <c r="U27" i="1"/>
  <c r="T23" i="1"/>
  <c r="T31" i="1"/>
  <c r="Z27" i="1"/>
  <c r="X36" i="1"/>
  <c r="U28" i="1"/>
  <c r="R26" i="1"/>
  <c r="Z24" i="1"/>
  <c r="Z32" i="1"/>
  <c r="Z40" i="1"/>
  <c r="Y29" i="1"/>
  <c r="Y37" i="1"/>
  <c r="X25" i="1"/>
  <c r="X33" i="1"/>
  <c r="W22" i="1"/>
  <c r="W30" i="1"/>
  <c r="W38" i="1"/>
  <c r="V27" i="1"/>
  <c r="V35" i="1"/>
  <c r="U25" i="1"/>
  <c r="U33" i="1"/>
  <c r="U22" i="1"/>
  <c r="T29" i="1"/>
  <c r="T37" i="1"/>
  <c r="S26" i="1"/>
  <c r="S34" i="1"/>
  <c r="R23" i="1"/>
  <c r="R31" i="1"/>
  <c r="R39" i="1"/>
  <c r="Z25" i="1"/>
  <c r="Z33" i="1"/>
  <c r="Z22" i="1"/>
  <c r="Y30" i="1"/>
  <c r="Y38" i="1"/>
  <c r="X26" i="1"/>
  <c r="X34" i="1"/>
  <c r="W23" i="1"/>
  <c r="W31" i="1"/>
  <c r="W39" i="1"/>
  <c r="V28" i="1"/>
  <c r="V36" i="1"/>
  <c r="U34" i="1"/>
  <c r="T30" i="1"/>
  <c r="S35" i="1"/>
  <c r="R40" i="1"/>
  <c r="Z26" i="1"/>
  <c r="Y31" i="1"/>
  <c r="W24" i="1"/>
  <c r="W40" i="1"/>
  <c r="U35" i="1"/>
  <c r="T39" i="1"/>
  <c r="S36" i="1"/>
  <c r="R25" i="1"/>
  <c r="Y32" i="1"/>
  <c r="V22" i="1"/>
  <c r="T32" i="1"/>
  <c r="Y24" i="1"/>
  <c r="X28" i="1"/>
  <c r="W33" i="1"/>
  <c r="V38" i="1"/>
  <c r="T24" i="1"/>
  <c r="R34" i="1"/>
  <c r="C20" i="1"/>
  <c r="V20" i="1" l="1"/>
  <c r="I11" i="5" s="1"/>
  <c r="W34" i="1"/>
  <c r="B27" i="5"/>
  <c r="R20" i="1"/>
  <c r="I6" i="5" s="1"/>
  <c r="S20" i="1"/>
  <c r="I7" i="5" s="1"/>
  <c r="T20" i="1"/>
  <c r="I8" i="5" s="1"/>
  <c r="I20" i="1"/>
  <c r="B10" i="5" s="1"/>
  <c r="Z20" i="1"/>
  <c r="I16" i="5" s="1"/>
  <c r="Y20" i="1"/>
  <c r="I15" i="5" s="1"/>
  <c r="U20" i="1"/>
  <c r="I10" i="5" s="1"/>
  <c r="W20" i="1"/>
  <c r="I12" i="5" s="1"/>
  <c r="X20" i="1"/>
  <c r="I14" i="5" s="1"/>
</calcChain>
</file>

<file path=xl/sharedStrings.xml><?xml version="1.0" encoding="utf-8"?>
<sst xmlns="http://schemas.openxmlformats.org/spreadsheetml/2006/main" count="246" uniqueCount="169">
  <si>
    <t>xflr5</t>
  </si>
  <si>
    <t>v6.48</t>
  </si>
  <si>
    <t>MainWing</t>
  </si>
  <si>
    <t>m/s-LLT-98.6kg-x0.0mm-z290.0mm</t>
  </si>
  <si>
    <t>QInf</t>
  </si>
  <si>
    <t>=</t>
  </si>
  <si>
    <t>m/s</t>
  </si>
  <si>
    <t>Alpha</t>
  </si>
  <si>
    <t>Beta</t>
  </si>
  <si>
    <t>0.000°</t>
  </si>
  <si>
    <t>Phi</t>
  </si>
  <si>
    <t>Ctrl</t>
  </si>
  <si>
    <t>CL</t>
  </si>
  <si>
    <t>Cy</t>
  </si>
  <si>
    <t>Cd</t>
  </si>
  <si>
    <t>ICd</t>
  </si>
  <si>
    <t>PCd</t>
  </si>
  <si>
    <t>Cl</t>
  </si>
  <si>
    <t>Cm</t>
  </si>
  <si>
    <t>ICn</t>
  </si>
  <si>
    <t>PCn</t>
  </si>
  <si>
    <t>XCP</t>
  </si>
  <si>
    <t>YCP</t>
  </si>
  <si>
    <t>ZCP</t>
  </si>
  <si>
    <t>XNP</t>
  </si>
  <si>
    <t>Bending</t>
  </si>
  <si>
    <t>Main</t>
  </si>
  <si>
    <t>Wing</t>
  </si>
  <si>
    <t>y-span</t>
  </si>
  <si>
    <t>Chord</t>
  </si>
  <si>
    <t>Ai</t>
  </si>
  <si>
    <t>CmGeom</t>
  </si>
  <si>
    <t>CmAirf@chord/4</t>
  </si>
  <si>
    <t>XTrtop</t>
  </si>
  <si>
    <t>XTrBot</t>
  </si>
  <si>
    <t>BM</t>
  </si>
  <si>
    <t>QX0020</t>
  </si>
  <si>
    <t>QX0120</t>
  </si>
  <si>
    <t>NACA0012</t>
  </si>
  <si>
    <t>Elevator</t>
  </si>
  <si>
    <t>Fin</t>
  </si>
  <si>
    <t>NACA0009</t>
  </si>
  <si>
    <t>cdy</t>
    <phoneticPr fontId="1"/>
  </si>
  <si>
    <t>ccdy</t>
    <phoneticPr fontId="1"/>
  </si>
  <si>
    <t>a</t>
    <phoneticPr fontId="1"/>
  </si>
  <si>
    <t>b</t>
    <phoneticPr fontId="1"/>
  </si>
  <si>
    <t>Gamma</t>
    <phoneticPr fontId="1"/>
  </si>
  <si>
    <t>Cyb</t>
    <phoneticPr fontId="1"/>
  </si>
  <si>
    <t>Cyp</t>
    <phoneticPr fontId="1"/>
  </si>
  <si>
    <t>Cyr</t>
    <phoneticPr fontId="1"/>
  </si>
  <si>
    <t>Clb</t>
    <phoneticPr fontId="1"/>
  </si>
  <si>
    <t>Clp</t>
    <phoneticPr fontId="1"/>
  </si>
  <si>
    <t>Clr</t>
    <phoneticPr fontId="1"/>
  </si>
  <si>
    <t>Cnb</t>
    <phoneticPr fontId="1"/>
  </si>
  <si>
    <t>Cnp</t>
    <phoneticPr fontId="1"/>
  </si>
  <si>
    <t>Cnr</t>
    <phoneticPr fontId="1"/>
  </si>
  <si>
    <t>// Plane</t>
  </si>
  <si>
    <t>mass</t>
    <phoneticPr fontId="1"/>
  </si>
  <si>
    <t>centerOfMass</t>
    <phoneticPr fontId="1"/>
  </si>
  <si>
    <t>inertiaTensor</t>
    <phoneticPr fontId="1"/>
  </si>
  <si>
    <t>inertiaTensorRotation</t>
    <phoneticPr fontId="1"/>
  </si>
  <si>
    <t>// Specification At Cruise without Ground Effect</t>
  </si>
  <si>
    <t>Airspeed0</t>
  </si>
  <si>
    <t>alpha0</t>
  </si>
  <si>
    <t>CDp0</t>
  </si>
  <si>
    <t>Cmw0</t>
  </si>
  <si>
    <t>CLMAX</t>
  </si>
  <si>
    <t>// Wing</t>
  </si>
  <si>
    <t>Sw</t>
  </si>
  <si>
    <t>bw</t>
  </si>
  <si>
    <t>cMAC</t>
  </si>
  <si>
    <t>aw</t>
  </si>
  <si>
    <t>hw</t>
  </si>
  <si>
    <t>ew</t>
  </si>
  <si>
    <t>AR</t>
  </si>
  <si>
    <t>// Tail</t>
  </si>
  <si>
    <t>Downwash</t>
  </si>
  <si>
    <t>St</t>
  </si>
  <si>
    <t>at</t>
  </si>
  <si>
    <t>lt</t>
  </si>
  <si>
    <t>deMAX</t>
  </si>
  <si>
    <t>tau</t>
  </si>
  <si>
    <t>VH</t>
  </si>
  <si>
    <t>// Fin</t>
  </si>
  <si>
    <t>drMAX</t>
  </si>
  <si>
    <t>// Ground Effect</t>
  </si>
  <si>
    <t>CGEMIN</t>
  </si>
  <si>
    <t>// Stability derivatives</t>
  </si>
  <si>
    <t>wing</t>
    <phoneticPr fontId="1"/>
  </si>
  <si>
    <t>fin</t>
    <phoneticPr fontId="1"/>
  </si>
  <si>
    <t>Cyp</t>
  </si>
  <si>
    <t>Cyr</t>
  </si>
  <si>
    <t>Cydr</t>
  </si>
  <si>
    <t>Clb</t>
  </si>
  <si>
    <t>Clp</t>
  </si>
  <si>
    <t>Clr</t>
  </si>
  <si>
    <t>Cldr</t>
  </si>
  <si>
    <t>Cnb</t>
  </si>
  <si>
    <t>Cnp</t>
  </si>
  <si>
    <t>Cnr</t>
  </si>
  <si>
    <t>Cndr</t>
  </si>
  <si>
    <t>// Fin (Extra)</t>
    <phoneticPr fontId="1"/>
  </si>
  <si>
    <t>Sf</t>
    <phoneticPr fontId="1"/>
  </si>
  <si>
    <t>af</t>
    <phoneticPr fontId="1"/>
  </si>
  <si>
    <t>lf</t>
    <phoneticPr fontId="1"/>
  </si>
  <si>
    <t>zf</t>
    <phoneticPr fontId="1"/>
  </si>
  <si>
    <t>a1</t>
    <phoneticPr fontId="1"/>
  </si>
  <si>
    <t>// Tail (Extra)</t>
    <phoneticPr fontId="1"/>
  </si>
  <si>
    <t>bt</t>
    <phoneticPr fontId="1"/>
  </si>
  <si>
    <t>bf</t>
    <phoneticPr fontId="1"/>
  </si>
  <si>
    <t>General</t>
  </si>
  <si>
    <t>Part</t>
  </si>
  <si>
    <t>Number</t>
  </si>
  <si>
    <t>QX-20_Property</t>
  </si>
  <si>
    <t>Name</t>
  </si>
  <si>
    <t>v2</t>
  </si>
  <si>
    <t>Description</t>
  </si>
  <si>
    <t>Material</t>
  </si>
  <si>
    <t>(Various)</t>
  </si>
  <si>
    <t>Manage</t>
  </si>
  <si>
    <t>Item</t>
  </si>
  <si>
    <t>Lifecycle</t>
  </si>
  <si>
    <t>Revision</t>
  </si>
  <si>
    <t>State</t>
  </si>
  <si>
    <t>Change</t>
  </si>
  <si>
    <t>Order</t>
  </si>
  <si>
    <t>Physical</t>
  </si>
  <si>
    <t>Mass</t>
  </si>
  <si>
    <t>g</t>
  </si>
  <si>
    <t>Volume</t>
  </si>
  <si>
    <t>mm^3</t>
  </si>
  <si>
    <t>Density</t>
  </si>
  <si>
    <t>/</t>
  </si>
  <si>
    <t>Area</t>
  </si>
  <si>
    <t>mm^2</t>
  </si>
  <si>
    <t>World</t>
  </si>
  <si>
    <t>X</t>
  </si>
  <si>
    <t>Y</t>
  </si>
  <si>
    <t>Z</t>
  </si>
  <si>
    <t>mm</t>
  </si>
  <si>
    <t>Center</t>
  </si>
  <si>
    <t>of</t>
  </si>
  <si>
    <t>Bounding</t>
  </si>
  <si>
    <t>Box</t>
  </si>
  <si>
    <t>Length</t>
  </si>
  <si>
    <t>Width</t>
  </si>
  <si>
    <t>Height</t>
  </si>
  <si>
    <t>Moment</t>
  </si>
  <si>
    <t>Inertia</t>
  </si>
  <si>
    <t>(g</t>
  </si>
  <si>
    <t>mm^2)</t>
  </si>
  <si>
    <t>Ixx</t>
  </si>
  <si>
    <t>Ixy</t>
  </si>
  <si>
    <t>Ixz</t>
  </si>
  <si>
    <t>Iyx</t>
  </si>
  <si>
    <t>Iyy</t>
  </si>
  <si>
    <t>Iyz</t>
  </si>
  <si>
    <t>Izx</t>
  </si>
  <si>
    <t>Izy</t>
  </si>
  <si>
    <t>Izz</t>
  </si>
  <si>
    <t>Origin</t>
  </si>
  <si>
    <t>v1</t>
    <phoneticPr fontId="1"/>
  </si>
  <si>
    <t>v2</t>
    <phoneticPr fontId="1"/>
  </si>
  <si>
    <t>v3</t>
    <phoneticPr fontId="1"/>
  </si>
  <si>
    <t>x</t>
    <phoneticPr fontId="1"/>
  </si>
  <si>
    <t>y</t>
    <phoneticPr fontId="1"/>
  </si>
  <si>
    <t>z</t>
    <phoneticPr fontId="1"/>
  </si>
  <si>
    <t>lambda</t>
    <phoneticPr fontId="1"/>
  </si>
  <si>
    <t>rotation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</si>
</sst>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;[Red]\-0.000\ "/>
    <numFmt numFmtId="177" formatCode="0.000000_ ;[Red]\-0.000000\ "/>
    <numFmt numFmtId="178" formatCode="0.000E+00"/>
  </numFmts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2" fillId="0" borderId="0" xfId="0" applyNumberFormat="1" applyFont="1" applyFill="1">
      <alignment vertical="center"/>
    </xf>
    <xf numFmtId="176" fontId="0" fillId="0" borderId="0" xfId="0" applyNumberFormat="1" applyFill="1">
      <alignment vertical="center"/>
    </xf>
    <xf numFmtId="176" fontId="0" fillId="2" borderId="0" xfId="0" applyNumberFormat="1" applyFill="1">
      <alignment vertical="center"/>
    </xf>
    <xf numFmtId="176" fontId="2" fillId="2" borderId="0" xfId="0" applyNumberFormat="1" applyFont="1" applyFill="1">
      <alignment vertical="center"/>
    </xf>
    <xf numFmtId="178" fontId="0" fillId="0" borderId="0" xfId="0" applyNumberForma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A0644-980A-4B69-A60C-46F1744A5DB6}">
  <dimension ref="A1:J27"/>
  <sheetViews>
    <sheetView tabSelected="1" zoomScale="94" zoomScaleNormal="94" workbookViewId="0">
      <selection activeCell="B2" sqref="B2"/>
    </sheetView>
  </sheetViews>
  <sheetFormatPr defaultColWidth="10.25" defaultRowHeight="18.75" x14ac:dyDescent="0.4"/>
  <cols>
    <col min="1" max="16384" width="10.25" style="1"/>
  </cols>
  <sheetData>
    <row r="1" spans="1:10" x14ac:dyDescent="0.4">
      <c r="A1" s="1" t="s">
        <v>56</v>
      </c>
      <c r="F1" s="1" t="s">
        <v>83</v>
      </c>
    </row>
    <row r="2" spans="1:10" x14ac:dyDescent="0.4">
      <c r="A2" s="1" t="s">
        <v>57</v>
      </c>
      <c r="B2" s="4">
        <f>Properties!C15*10^(-3)</f>
        <v>98.918213000000009</v>
      </c>
      <c r="C2" s="5"/>
      <c r="D2" s="5"/>
      <c r="F2" s="1" t="s">
        <v>84</v>
      </c>
      <c r="G2" s="6">
        <v>10</v>
      </c>
    </row>
    <row r="3" spans="1:10" x14ac:dyDescent="0.4">
      <c r="A3" s="1" t="s">
        <v>58</v>
      </c>
      <c r="B3" s="5">
        <v>0</v>
      </c>
      <c r="C3" s="5">
        <f>-Properties!I20*10^(-3)</f>
        <v>0.23991499999999999</v>
      </c>
      <c r="D3" s="5">
        <v>0</v>
      </c>
      <c r="F3" s="1" t="s">
        <v>85</v>
      </c>
    </row>
    <row r="4" spans="1:10" x14ac:dyDescent="0.4">
      <c r="A4" s="1" t="s">
        <v>59</v>
      </c>
      <c r="B4" s="5">
        <f>Properties!H41</f>
        <v>1131.6455448537436</v>
      </c>
      <c r="C4" s="5">
        <f>Properties!J41</f>
        <v>1198.0481090666501</v>
      </c>
      <c r="D4" s="5">
        <f>Properties!I41</f>
        <v>86.89</v>
      </c>
      <c r="F4" s="1" t="s">
        <v>86</v>
      </c>
      <c r="G4" s="6">
        <v>0.29299999999999998</v>
      </c>
    </row>
    <row r="5" spans="1:10" x14ac:dyDescent="0.4">
      <c r="A5" s="1" t="s">
        <v>60</v>
      </c>
      <c r="B5" s="5">
        <f>Properties!I42</f>
        <v>-10.853653101445884</v>
      </c>
      <c r="C5" s="5"/>
      <c r="D5" s="5"/>
      <c r="F5" s="1" t="s">
        <v>87</v>
      </c>
      <c r="I5" s="1" t="s">
        <v>88</v>
      </c>
      <c r="J5" s="1" t="s">
        <v>89</v>
      </c>
    </row>
    <row r="6" spans="1:10" x14ac:dyDescent="0.4">
      <c r="A6" s="1" t="s">
        <v>61</v>
      </c>
      <c r="F6" s="1" t="s">
        <v>47</v>
      </c>
      <c r="G6" s="3">
        <f>SUM(I6:J6)</f>
        <v>-4.3758649186576952E-3</v>
      </c>
      <c r="I6" s="3">
        <f>'MainWing_a=1.50_v=9.60ms.txt'!R20</f>
        <v>-3.1281196303073683E-3</v>
      </c>
      <c r="J6" s="3">
        <f>-(G22/B13)*G24</f>
        <v>-1.2477452883503273E-3</v>
      </c>
    </row>
    <row r="7" spans="1:10" x14ac:dyDescent="0.4">
      <c r="A7" s="1" t="s">
        <v>62</v>
      </c>
      <c r="B7" s="1">
        <f>'MainWing_a=1.50_v=9.60ms.txt'!C5</f>
        <v>9.6</v>
      </c>
      <c r="F7" s="1" t="s">
        <v>90</v>
      </c>
      <c r="G7" s="3">
        <f t="shared" ref="G7:G17" si="0">SUM(I7:J7)</f>
        <v>-0.5640703519961785</v>
      </c>
      <c r="I7" s="3">
        <f>'MainWing_a=1.50_v=9.60ms.txt'!S20</f>
        <v>-0.56135740329743511</v>
      </c>
      <c r="J7" s="3">
        <f>-(G22/B13)*DEGREES(G24)*(2*G27/B14)</f>
        <v>-2.7129486987434418E-3</v>
      </c>
    </row>
    <row r="8" spans="1:10" x14ac:dyDescent="0.4">
      <c r="A8" s="1" t="s">
        <v>63</v>
      </c>
      <c r="B8" s="1">
        <f>'MainWing_a=1.50_v=9.60ms.txt'!C6</f>
        <v>1.5</v>
      </c>
      <c r="F8" s="1" t="s">
        <v>91</v>
      </c>
      <c r="G8" s="3">
        <f t="shared" si="0"/>
        <v>0.17906899435069201</v>
      </c>
      <c r="I8" s="3">
        <f>'MainWing_a=1.50_v=9.60ms.txt'!T20</f>
        <v>0.16170612267873399</v>
      </c>
      <c r="J8" s="3">
        <f>(G22/B13)*DEGREES(G24)*(2*G25/B14)</f>
        <v>1.7362871671958026E-2</v>
      </c>
    </row>
    <row r="9" spans="1:10" x14ac:dyDescent="0.4">
      <c r="A9" s="1" t="s">
        <v>64</v>
      </c>
      <c r="B9" s="1">
        <f>'MainWing_a=1.50_v=9.60ms.txt'!I12</f>
        <v>8.9890000000000005E-3</v>
      </c>
      <c r="F9" s="1" t="s">
        <v>92</v>
      </c>
      <c r="G9" s="3">
        <f t="shared" si="0"/>
        <v>8.7342170184522905E-4</v>
      </c>
      <c r="I9" s="3"/>
      <c r="J9" s="3">
        <f>(G22/B13)*G24*G26</f>
        <v>8.7342170184522905E-4</v>
      </c>
    </row>
    <row r="10" spans="1:10" x14ac:dyDescent="0.4">
      <c r="A10" s="1" t="s">
        <v>65</v>
      </c>
      <c r="B10" s="1">
        <f>'MainWing_a=1.50_v=9.60ms.txt'!I20</f>
        <v>-0.10599172957349964</v>
      </c>
      <c r="F10" s="1" t="s">
        <v>93</v>
      </c>
      <c r="G10" s="3">
        <f t="shared" si="0"/>
        <v>-4.9224424276083411E-3</v>
      </c>
      <c r="I10" s="3">
        <f>'MainWing_a=1.50_v=9.60ms.txt'!U20</f>
        <v>-4.8987674839929569E-3</v>
      </c>
      <c r="J10" s="3">
        <f>-(G22/B13)*G24*(G27/B14)</f>
        <v>-2.3674943615384402E-5</v>
      </c>
    </row>
    <row r="11" spans="1:10" x14ac:dyDescent="0.4">
      <c r="A11" s="1" t="s">
        <v>66</v>
      </c>
      <c r="B11" s="6">
        <v>1.7</v>
      </c>
      <c r="F11" s="1" t="s">
        <v>94</v>
      </c>
      <c r="G11" s="3">
        <f t="shared" si="0"/>
        <v>-0.94903073506236391</v>
      </c>
      <c r="I11" s="3">
        <f>'MainWing_a=1.50_v=9.60ms.txt'!V20</f>
        <v>-0.94897925908559699</v>
      </c>
      <c r="J11" s="3">
        <f>-(G22/B13)*DEGREES(G24)*(2*G27/B14)*(G27/B14)</f>
        <v>-5.1475976766940935E-5</v>
      </c>
    </row>
    <row r="12" spans="1:10" x14ac:dyDescent="0.4">
      <c r="A12" s="1" t="s">
        <v>67</v>
      </c>
      <c r="F12" s="1" t="s">
        <v>95</v>
      </c>
      <c r="G12" s="3">
        <f t="shared" si="0"/>
        <v>0.26568749694232052</v>
      </c>
      <c r="I12" s="3">
        <f>'MainWing_a=1.50_v=9.60ms.txt'!W20</f>
        <v>0.26535805069101209</v>
      </c>
      <c r="J12" s="3">
        <f>(G22/B13)*DEGREES(G24)*(2*G25/B14)*(G27/B14)</f>
        <v>3.2944625130842199E-4</v>
      </c>
    </row>
    <row r="13" spans="1:10" x14ac:dyDescent="0.4">
      <c r="A13" s="1" t="s">
        <v>68</v>
      </c>
      <c r="B13" s="1">
        <f>'MainWing_a=1.50_v=9.60ms.txt'!N20</f>
        <v>18.682635819999998</v>
      </c>
      <c r="F13" s="1" t="s">
        <v>96</v>
      </c>
      <c r="G13" s="3">
        <f t="shared" si="0"/>
        <v>1.6572460530769081E-5</v>
      </c>
      <c r="I13" s="3"/>
      <c r="J13" s="3">
        <f>J9*(G27/B14)</f>
        <v>1.6572460530769081E-5</v>
      </c>
    </row>
    <row r="14" spans="1:10" x14ac:dyDescent="0.4">
      <c r="A14" s="1" t="s">
        <v>69</v>
      </c>
      <c r="B14" s="1">
        <f>'MainWing_a=1.50_v=9.60ms.txt'!B20</f>
        <v>26.351600000000001</v>
      </c>
      <c r="F14" s="1" t="s">
        <v>97</v>
      </c>
      <c r="G14" s="3">
        <f t="shared" si="0"/>
        <v>-6.8456943106094095E-4</v>
      </c>
      <c r="I14" s="3">
        <f>'MainWing_a=1.50_v=9.60ms.txt'!X20</f>
        <v>-8.3608907019940113E-4</v>
      </c>
      <c r="J14" s="3">
        <f>(G22/B13)*G24*(G25/B14)</f>
        <v>1.5151963913846017E-4</v>
      </c>
    </row>
    <row r="15" spans="1:10" x14ac:dyDescent="0.4">
      <c r="A15" s="1" t="s">
        <v>70</v>
      </c>
      <c r="B15" s="1">
        <f>'MainWing_a=1.50_v=9.60ms.txt'!C20</f>
        <v>0.75377883409306867</v>
      </c>
      <c r="F15" s="1" t="s">
        <v>98</v>
      </c>
      <c r="G15" s="3">
        <f t="shared" si="0"/>
        <v>-0.15765631636887645</v>
      </c>
      <c r="I15" s="3">
        <f>'MainWing_a=1.50_v=9.60ms.txt'!Y20</f>
        <v>-0.15798576262018488</v>
      </c>
      <c r="J15" s="3">
        <f>(G22/B13)*DEGREES(G24)*(2*G27/B14)*(G25/B14)</f>
        <v>3.2944625130842199E-4</v>
      </c>
    </row>
    <row r="16" spans="1:10" x14ac:dyDescent="0.4">
      <c r="A16" s="1" t="s">
        <v>71</v>
      </c>
      <c r="B16" s="1">
        <f>RADIANS(2*PI()/(1+(2*PI()/(PI()*B19))))</f>
        <v>0.104062767423012</v>
      </c>
      <c r="F16" s="1" t="s">
        <v>99</v>
      </c>
      <c r="G16" s="3">
        <f t="shared" si="0"/>
        <v>1.9322301413592026E-3</v>
      </c>
      <c r="I16" s="3">
        <f>'MainWing_a=1.50_v=9.60ms.txt'!Z20</f>
        <v>4.0406861497331035E-3</v>
      </c>
      <c r="J16" s="3">
        <f>-(G22/B13)*DEGREES(G24)*(2*G25/B14)*(G25/B14)</f>
        <v>-2.1084560083739008E-3</v>
      </c>
    </row>
    <row r="17" spans="1:10" x14ac:dyDescent="0.4">
      <c r="A17" s="1" t="s">
        <v>72</v>
      </c>
      <c r="B17" s="6">
        <f>0.3232-0.25</f>
        <v>7.3199999999999987E-2</v>
      </c>
      <c r="F17" s="1" t="s">
        <v>100</v>
      </c>
      <c r="G17" s="3">
        <f t="shared" si="0"/>
        <v>-1.0606374739692212E-4</v>
      </c>
      <c r="J17" s="3">
        <f>-J9*(G25/B14)</f>
        <v>-1.0606374739692212E-4</v>
      </c>
    </row>
    <row r="18" spans="1:10" x14ac:dyDescent="0.4">
      <c r="A18" s="1" t="s">
        <v>73</v>
      </c>
      <c r="B18" s="7"/>
    </row>
    <row r="19" spans="1:10" x14ac:dyDescent="0.4">
      <c r="A19" s="1" t="s">
        <v>74</v>
      </c>
      <c r="B19" s="1">
        <f>(B14*B14)/B13</f>
        <v>37.168568142650876</v>
      </c>
      <c r="F19" s="1" t="s">
        <v>107</v>
      </c>
    </row>
    <row r="20" spans="1:10" x14ac:dyDescent="0.4">
      <c r="A20" s="1" t="s">
        <v>75</v>
      </c>
      <c r="F20" s="1" t="s">
        <v>108</v>
      </c>
      <c r="G20" s="1">
        <f>Elevator.xwimp!M1</f>
        <v>2.88</v>
      </c>
    </row>
    <row r="21" spans="1:10" x14ac:dyDescent="0.4">
      <c r="A21" s="1" t="s">
        <v>76</v>
      </c>
      <c r="B21" s="7" t="b">
        <f>TRUE</f>
        <v>1</v>
      </c>
      <c r="F21" s="1" t="s">
        <v>101</v>
      </c>
    </row>
    <row r="22" spans="1:10" x14ac:dyDescent="0.4">
      <c r="A22" s="1" t="s">
        <v>77</v>
      </c>
      <c r="B22" s="1">
        <f>Elevator.xwimp!L1</f>
        <v>1.5264</v>
      </c>
      <c r="F22" s="1" t="s">
        <v>102</v>
      </c>
      <c r="G22" s="1">
        <f>Fin.xwimp!L1</f>
        <v>0.63319999999999999</v>
      </c>
    </row>
    <row r="23" spans="1:10" x14ac:dyDescent="0.4">
      <c r="A23" s="1" t="s">
        <v>78</v>
      </c>
      <c r="B23" s="1">
        <f>RADIANS(2*PI()/(1+(2*PI())/(PI()*((G20*G20)/B22))))</f>
        <v>8.0159223562147081E-2</v>
      </c>
      <c r="F23" s="1" t="s">
        <v>109</v>
      </c>
      <c r="G23" s="1">
        <f>Fin.xwimp!M1</f>
        <v>0.8</v>
      </c>
    </row>
    <row r="24" spans="1:10" x14ac:dyDescent="0.4">
      <c r="A24" s="1" t="s">
        <v>79</v>
      </c>
      <c r="B24" s="6">
        <v>3.2</v>
      </c>
      <c r="F24" s="1" t="s">
        <v>103</v>
      </c>
      <c r="G24" s="1">
        <f>RADIANS(2*PI()/(1+(2*PI())/(PI()*((G23*G23)/G22))))</f>
        <v>3.6814862315808675E-2</v>
      </c>
    </row>
    <row r="25" spans="1:10" x14ac:dyDescent="0.4">
      <c r="A25" s="1" t="s">
        <v>80</v>
      </c>
      <c r="B25" s="6">
        <v>10</v>
      </c>
      <c r="F25" s="1" t="s">
        <v>104</v>
      </c>
      <c r="G25" s="6">
        <v>3.2</v>
      </c>
    </row>
    <row r="26" spans="1:10" x14ac:dyDescent="0.4">
      <c r="A26" s="1" t="s">
        <v>81</v>
      </c>
      <c r="B26" s="6">
        <v>1</v>
      </c>
      <c r="F26" s="1" t="s">
        <v>81</v>
      </c>
      <c r="G26" s="6">
        <v>0.7</v>
      </c>
    </row>
    <row r="27" spans="1:10" x14ac:dyDescent="0.4">
      <c r="A27" s="1" t="s">
        <v>82</v>
      </c>
      <c r="B27" s="1">
        <f>(B22*B24)/(B13*B15)</f>
        <v>0.34684564756393449</v>
      </c>
      <c r="F27" s="1" t="s">
        <v>105</v>
      </c>
      <c r="G27" s="6">
        <v>0.5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DD98E-EB93-43ED-A306-A6696D626861}">
  <dimension ref="A1:Z40"/>
  <sheetViews>
    <sheetView zoomScale="81" zoomScaleNormal="81" workbookViewId="0"/>
  </sheetViews>
  <sheetFormatPr defaultColWidth="8.75" defaultRowHeight="18.75" x14ac:dyDescent="0.4"/>
  <cols>
    <col min="1" max="26" width="8.75" style="2" customWidth="1"/>
    <col min="27" max="16384" width="8.75" style="2"/>
  </cols>
  <sheetData>
    <row r="1" spans="1:9" x14ac:dyDescent="0.4">
      <c r="A1" s="2" t="s">
        <v>0</v>
      </c>
      <c r="B1" s="2" t="s">
        <v>1</v>
      </c>
    </row>
    <row r="3" spans="1:9" x14ac:dyDescent="0.4">
      <c r="A3" s="2" t="s">
        <v>2</v>
      </c>
    </row>
    <row r="4" spans="1:9" x14ac:dyDescent="0.4">
      <c r="A4" s="2">
        <v>4633</v>
      </c>
      <c r="B4" s="2" t="s">
        <v>3</v>
      </c>
    </row>
    <row r="5" spans="1:9" x14ac:dyDescent="0.4">
      <c r="A5" s="2" t="s">
        <v>4</v>
      </c>
      <c r="B5" s="2" t="s">
        <v>5</v>
      </c>
      <c r="C5" s="2">
        <v>9.6</v>
      </c>
      <c r="D5" s="2" t="s">
        <v>6</v>
      </c>
    </row>
    <row r="6" spans="1:9" x14ac:dyDescent="0.4">
      <c r="A6" s="2" t="s">
        <v>7</v>
      </c>
      <c r="B6" s="2" t="s">
        <v>5</v>
      </c>
      <c r="C6" s="2">
        <v>1.5</v>
      </c>
    </row>
    <row r="7" spans="1:9" x14ac:dyDescent="0.4">
      <c r="A7" s="2" t="s">
        <v>8</v>
      </c>
      <c r="B7" s="2" t="s">
        <v>5</v>
      </c>
      <c r="C7" s="2" t="s">
        <v>9</v>
      </c>
    </row>
    <row r="8" spans="1:9" x14ac:dyDescent="0.4">
      <c r="A8" s="2" t="s">
        <v>10</v>
      </c>
      <c r="B8" s="2" t="s">
        <v>5</v>
      </c>
      <c r="C8" s="2" t="s">
        <v>9</v>
      </c>
    </row>
    <row r="9" spans="1:9" x14ac:dyDescent="0.4">
      <c r="A9" s="2" t="s">
        <v>11</v>
      </c>
      <c r="B9" s="2" t="s">
        <v>5</v>
      </c>
      <c r="C9" s="2">
        <v>0</v>
      </c>
    </row>
    <row r="10" spans="1:9" x14ac:dyDescent="0.4">
      <c r="A10" s="2" t="s">
        <v>12</v>
      </c>
      <c r="B10" s="2" t="s">
        <v>5</v>
      </c>
      <c r="C10" s="2">
        <v>0.97655099999999995</v>
      </c>
    </row>
    <row r="11" spans="1:9" x14ac:dyDescent="0.4">
      <c r="A11" s="2" t="s">
        <v>13</v>
      </c>
      <c r="B11" s="2" t="s">
        <v>5</v>
      </c>
      <c r="C11" s="2">
        <v>0</v>
      </c>
    </row>
    <row r="12" spans="1:9" x14ac:dyDescent="0.4">
      <c r="A12" s="2" t="s">
        <v>14</v>
      </c>
      <c r="B12" s="2" t="s">
        <v>5</v>
      </c>
      <c r="C12" s="2">
        <v>1.7194999999999998E-2</v>
      </c>
      <c r="D12" s="2" t="s">
        <v>15</v>
      </c>
      <c r="E12" s="2" t="s">
        <v>5</v>
      </c>
      <c r="F12" s="2">
        <v>8.2059999999999998E-3</v>
      </c>
      <c r="G12" s="2" t="s">
        <v>16</v>
      </c>
      <c r="H12" s="2" t="s">
        <v>5</v>
      </c>
      <c r="I12" s="2">
        <v>8.9890000000000005E-3</v>
      </c>
    </row>
    <row r="13" spans="1:9" x14ac:dyDescent="0.4">
      <c r="A13" s="2" t="s">
        <v>17</v>
      </c>
      <c r="B13" s="2" t="s">
        <v>5</v>
      </c>
      <c r="C13" s="2">
        <v>1.99858E-17</v>
      </c>
    </row>
    <row r="14" spans="1:9" x14ac:dyDescent="0.4">
      <c r="A14" s="2" t="s">
        <v>18</v>
      </c>
      <c r="B14" s="2" t="s">
        <v>5</v>
      </c>
      <c r="C14" s="2">
        <v>-2.9477400000000001E-2</v>
      </c>
    </row>
    <row r="15" spans="1:9" x14ac:dyDescent="0.4">
      <c r="A15" s="2" t="s">
        <v>19</v>
      </c>
      <c r="B15" s="2" t="s">
        <v>5</v>
      </c>
      <c r="C15" s="2">
        <v>0</v>
      </c>
      <c r="D15" s="2" t="s">
        <v>20</v>
      </c>
      <c r="E15" s="2" t="s">
        <v>5</v>
      </c>
      <c r="F15" s="2">
        <v>0</v>
      </c>
    </row>
    <row r="16" spans="1:9" x14ac:dyDescent="0.4">
      <c r="A16" s="2" t="s">
        <v>21</v>
      </c>
      <c r="B16" s="2" t="s">
        <v>5</v>
      </c>
      <c r="C16" s="2">
        <v>2.1205999999999999E-2</v>
      </c>
      <c r="D16" s="2" t="s">
        <v>22</v>
      </c>
      <c r="E16" s="2" t="s">
        <v>5</v>
      </c>
      <c r="F16" s="2">
        <v>0</v>
      </c>
      <c r="G16" s="2" t="s">
        <v>23</v>
      </c>
      <c r="H16" s="2" t="s">
        <v>5</v>
      </c>
      <c r="I16" s="2">
        <v>0</v>
      </c>
    </row>
    <row r="17" spans="1:26" x14ac:dyDescent="0.4">
      <c r="A17" s="2" t="s">
        <v>24</v>
      </c>
      <c r="B17" s="2" t="s">
        <v>5</v>
      </c>
      <c r="C17" s="2">
        <v>0</v>
      </c>
    </row>
    <row r="18" spans="1:26" x14ac:dyDescent="0.4">
      <c r="A18" s="2" t="s">
        <v>25</v>
      </c>
      <c r="B18" s="2" t="s">
        <v>5</v>
      </c>
      <c r="C18" s="2">
        <v>0</v>
      </c>
    </row>
    <row r="20" spans="1:26" x14ac:dyDescent="0.4">
      <c r="A20" s="2" t="s">
        <v>26</v>
      </c>
      <c r="B20" s="2">
        <f>ABS(MIN(B22:B40))+MAX(B22:B40)</f>
        <v>26.351600000000001</v>
      </c>
      <c r="C20" s="2">
        <f>(1/N20)*SUM(O22:O40)</f>
        <v>0.75377883409306867</v>
      </c>
      <c r="I20" s="2">
        <f>SUMPRODUCT(O22:O40,I22:I40)/(N20*C20)</f>
        <v>-0.10599172957349964</v>
      </c>
      <c r="N20" s="2">
        <f>SUM(N22:N40)</f>
        <v>18.682635819999998</v>
      </c>
      <c r="R20" s="2">
        <f>SUM(R22:R40)*(1/2)</f>
        <v>-3.1281196303073683E-3</v>
      </c>
      <c r="S20" s="2">
        <f t="shared" ref="S20:Z20" si="0">SUM(S22:S40)*(1/2)</f>
        <v>-0.56135740329743511</v>
      </c>
      <c r="T20" s="2">
        <f t="shared" si="0"/>
        <v>0.16170612267873399</v>
      </c>
      <c r="U20" s="2">
        <f t="shared" si="0"/>
        <v>-4.8987674839929569E-3</v>
      </c>
      <c r="V20" s="2">
        <f t="shared" si="0"/>
        <v>-0.94897925908559699</v>
      </c>
      <c r="W20" s="2">
        <f t="shared" si="0"/>
        <v>0.26535805069101209</v>
      </c>
      <c r="X20" s="2">
        <f t="shared" si="0"/>
        <v>-8.3608907019940113E-4</v>
      </c>
      <c r="Y20" s="2">
        <f t="shared" si="0"/>
        <v>-0.15798576262018488</v>
      </c>
      <c r="Z20" s="2">
        <f t="shared" si="0"/>
        <v>4.0406861497331035E-3</v>
      </c>
    </row>
    <row r="21" spans="1:26" x14ac:dyDescent="0.4">
      <c r="B21" s="2" t="s">
        <v>28</v>
      </c>
      <c r="C21" s="2" t="s">
        <v>29</v>
      </c>
      <c r="D21" s="2" t="s">
        <v>30</v>
      </c>
      <c r="E21" s="2" t="s">
        <v>17</v>
      </c>
      <c r="F21" s="2" t="s">
        <v>16</v>
      </c>
      <c r="G21" s="2" t="s">
        <v>15</v>
      </c>
      <c r="H21" s="2" t="s">
        <v>31</v>
      </c>
      <c r="I21" s="2" t="s">
        <v>32</v>
      </c>
      <c r="J21" s="2" t="s">
        <v>33</v>
      </c>
      <c r="K21" s="2" t="s">
        <v>34</v>
      </c>
      <c r="L21" s="2" t="s">
        <v>21</v>
      </c>
      <c r="M21" s="2" t="s">
        <v>35</v>
      </c>
      <c r="N21" s="2" t="s">
        <v>42</v>
      </c>
      <c r="O21" s="2" t="s">
        <v>43</v>
      </c>
      <c r="P21" s="2" t="s">
        <v>46</v>
      </c>
      <c r="Q21" s="2" t="s">
        <v>106</v>
      </c>
      <c r="R21" s="2" t="s">
        <v>47</v>
      </c>
      <c r="S21" s="2" t="s">
        <v>48</v>
      </c>
      <c r="T21" s="2" t="s">
        <v>49</v>
      </c>
      <c r="U21" s="2" t="s">
        <v>50</v>
      </c>
      <c r="V21" s="2" t="s">
        <v>51</v>
      </c>
      <c r="W21" s="2" t="s">
        <v>52</v>
      </c>
      <c r="X21" s="2" t="s">
        <v>53</v>
      </c>
      <c r="Y21" s="2" t="s">
        <v>54</v>
      </c>
      <c r="Z21" s="2" t="s">
        <v>55</v>
      </c>
    </row>
    <row r="22" spans="1:26" x14ac:dyDescent="0.4">
      <c r="B22" s="2">
        <v>-13.175800000000001</v>
      </c>
      <c r="C22" s="2">
        <v>0.2298</v>
      </c>
      <c r="D22" s="2">
        <v>-0.88100000000000001</v>
      </c>
      <c r="E22" s="2">
        <v>0.57321500000000003</v>
      </c>
      <c r="F22" s="2">
        <v>1.5231E-2</v>
      </c>
      <c r="G22" s="2">
        <v>8.8140000000000007E-3</v>
      </c>
      <c r="H22" s="2">
        <v>-4.3768000000000001E-2</v>
      </c>
      <c r="I22" s="2">
        <v>-0.103978</v>
      </c>
      <c r="J22" s="2">
        <v>0.74590000000000001</v>
      </c>
      <c r="K22" s="2">
        <v>1</v>
      </c>
      <c r="L22" s="2">
        <v>0.4289</v>
      </c>
      <c r="M22" s="2">
        <v>0</v>
      </c>
      <c r="N22" s="2">
        <f>IF(B22=0,0,
    IF(B22&lt;0,ABS(B22-B23)*AVERAGE(C22:C23),
        ABS(B21-B22)*AVERAGE(C21:C22)
    )
)</f>
        <v>0.13400154000000039</v>
      </c>
      <c r="O22" s="2">
        <f>IF(B22=0,0,
    IF(B22&lt;0,ABS(B22-B23)*AVERAGE(C22:C23)*AVERAGE(C22:C23),
        ABS(B21-B22)*AVERAGE(C21:C22)*AVERAGE(C21:C22)
    )
)</f>
        <v>3.6743222268000107E-2</v>
      </c>
      <c r="P22" s="2">
        <f>IF(ABS(B22)&lt;MainWing.xwimp!$A$3,MainWing.xwimp!$L$2*ABS(B22)+MainWing.xwimp!$M$2,
    IF(ABS(B22)&lt;MainWing.xwimp!$A$4,MainWing.xwimp!$L$3*ABS(B22)+MainWing.xwimp!$M$3,
        IF(ABS(B22)&lt;MainWing.xwimp!$A$5,MainWing.xwimp!$L$4*ABS(B22)+MainWing.xwimp!$M$4,
            IF(ABS(B22)&lt;MainWing.xwimp!$A$6,MainWing.xwimp!$L$5*ABS(B22)+MainWing.xwimp!$M$5,
                MainWing.xwimp!$L$6*ABS(B22)+MainWing.xwimp!$M$6
            )
        )
    )
)</f>
        <v>11.500999999999999</v>
      </c>
      <c r="Q22" s="2">
        <f>RADIANS(2*PI())</f>
        <v>0.1096622711232151</v>
      </c>
      <c r="R22" s="2">
        <f>-(2/$N$20)*Q22*SIN(RADIANS(P22))*SIN(RADIANS(P22))*N22</f>
        <v>-6.2538001805383564E-5</v>
      </c>
      <c r="S22" s="2">
        <f>-(4/($N$20*$B$20))*Q22*(180/PI())*ABS(B22)*SIN(RADIANS(P22))*COS(RADIANS(P22))*N22</f>
        <v>-1.7610238334182019E-2</v>
      </c>
      <c r="T22" s="2">
        <f>(8/($N$20*$B$20))*E22*ABS(B22)*SIN(RADIANS(P22))*N22</f>
        <v>3.2790024644829131E-3</v>
      </c>
      <c r="U22" s="2">
        <f>-(2/($N$20*$B$20))*Q22*SIN(RADIANS(P22))*ABS(B22)*COS(RADIANS(P22))*N22</f>
        <v>-1.5367832049619884E-4</v>
      </c>
      <c r="V22" s="2">
        <f>-(4/($N$20*$B$20*$B$20))*Q22*(180/PI())*B22*COS(RADIANS(P22))*B22*COS(RADIANS(P22))*N22</f>
        <v>-4.3274677357886059E-2</v>
      </c>
      <c r="W22" s="2">
        <f>(8/($N$20*$B$20*$B$20))*E22*B22*B22*COS(RADIANS(P22))*N22</f>
        <v>8.0576861603731589E-3</v>
      </c>
      <c r="X22" s="2">
        <f t="shared" ref="X22:X40" si="1">-(2/($N$20*$B$20))*(Q22*(180/PI())*SIN(RADIANS($C$6))+E22*COS(RADIANS($C$6))+F22*SIN(RADIANS($C$6)))*(PI()/180)*SIN(RADIANS(P22))*ABS(B22)*N22</f>
        <v>-1.8417654040578905E-5</v>
      </c>
      <c r="Y22" s="2">
        <f t="shared" ref="Y22:Y40" si="2">-(4/($N$20*$B$20*$B$20))*(Q22*(180/PI())*SIN(RADIANS($C$6))+E22*COS(RADIANS($C$6))+F22*SIN(RADIANS($C$6)))*COS(RADIANS(P22))*ABS(B22)*ABS(B22)*N22</f>
        <v>-5.1862750303477726E-3</v>
      </c>
      <c r="Z22" s="2">
        <f t="shared" ref="Z22:Z40" si="3">(8/($N$20*$B$20*$B$20))*(E22*SIN(RADIANS($C$6))-F22*COS(RADIANS($C$6)))*B22*B22*N22</f>
        <v>-3.166828646632315E-6</v>
      </c>
    </row>
    <row r="23" spans="1:26" x14ac:dyDescent="0.4">
      <c r="B23" s="2">
        <v>-12.687099999999999</v>
      </c>
      <c r="C23" s="2">
        <v>0.31859999999999999</v>
      </c>
      <c r="D23" s="2">
        <v>-0.26</v>
      </c>
      <c r="E23" s="2">
        <v>0.71536500000000003</v>
      </c>
      <c r="F23" s="2">
        <v>1.1393E-2</v>
      </c>
      <c r="G23" s="2">
        <v>3.2460000000000002E-3</v>
      </c>
      <c r="H23" s="2">
        <v>-5.2165000000000003E-2</v>
      </c>
      <c r="I23" s="2">
        <v>-0.100992</v>
      </c>
      <c r="J23" s="2">
        <v>0.67859999999999998</v>
      </c>
      <c r="K23" s="2">
        <v>1</v>
      </c>
      <c r="L23" s="2">
        <v>0.38679999999999998</v>
      </c>
      <c r="M23" s="2">
        <v>1.1272</v>
      </c>
      <c r="N23" s="2">
        <f t="shared" ref="N23:N40" si="4">IF(B23=0,0,
    IF(B23&lt;0,ABS(B23-B24)*AVERAGE(C23:C24),
        ABS(B22-B23)*AVERAGE(C22:C23)
    )
)</f>
        <v>0.29524540499999996</v>
      </c>
      <c r="O23" s="2">
        <f t="shared" ref="O23:O40" si="5">IF(B23=0,0,
    IF(B23&lt;0,ABS(B23-B24)*AVERAGE(C23:C24)*AVERAGE(C23:C24),
        ABS(B22-B23)*AVERAGE(C22:C23)*AVERAGE(C22:C23)
    )
)</f>
        <v>0.10881269401274998</v>
      </c>
      <c r="P23" s="2">
        <f>IF(ABS(B23)&lt;MainWing.xwimp!$A$3,MainWing.xwimp!$L$2*ABS(B23)+MainWing.xwimp!$M$2,
    IF(ABS(B23)&lt;MainWing.xwimp!$A$4,MainWing.xwimp!$L$3*ABS(B23)+MainWing.xwimp!$M$3,
        IF(ABS(B23)&lt;MainWing.xwimp!$A$5,MainWing.xwimp!$L$4*ABS(B23)+MainWing.xwimp!$M$4,
            IF(ABS(B23)&lt;MainWing.xwimp!$A$6,MainWing.xwimp!$L$5*ABS(B23)+MainWing.xwimp!$M$5,
                MainWing.xwimp!$L$6*ABS(B23)+MainWing.xwimp!$M$6
            )
        )
    )
)</f>
        <v>11.500999999999999</v>
      </c>
      <c r="Q23" s="2">
        <f t="shared" ref="Q23:Q40" si="6">RADIANS(2*PI())</f>
        <v>0.1096622711232151</v>
      </c>
      <c r="R23" s="2">
        <f t="shared" ref="R23:R40" si="7">-(2/$N$20)*Q23*SIN(RADIANS(P23))*SIN(RADIANS(P23))*N23</f>
        <v>-1.3778989160065732E-4</v>
      </c>
      <c r="S23" s="2">
        <f t="shared" ref="S23:S40" si="8">-(4/($N$20*$B$20))*Q23*(180/PI())*ABS(B23)*SIN(RADIANS(P23))*COS(RADIANS(P23))*N23</f>
        <v>-3.7361470447472754E-2</v>
      </c>
      <c r="T23" s="2">
        <f t="shared" ref="T23:T40" si="9">(8/($N$20*$B$20))*E23*ABS(B23)*SIN(RADIANS(P23))*N23</f>
        <v>8.6818166820135864E-3</v>
      </c>
      <c r="U23" s="2">
        <f t="shared" ref="U23:U40" si="10">-(2/($N$20*$B$20))*Q23*SIN(RADIANS(P23))*ABS(B23)*COS(RADIANS(P23))*N23</f>
        <v>-3.2604033634747943E-4</v>
      </c>
      <c r="V23" s="2">
        <f t="shared" ref="V23:V40" si="11">-(4/($N$20*$B$20*$B$20))*Q23*(180/PI())*B23*COS(RADIANS(P23))*B23*COS(RADIANS(P23))*N23</f>
        <v>-8.840522515566239E-2</v>
      </c>
      <c r="W23" s="2">
        <f t="shared" ref="W23:W40" si="12">(8/($N$20*$B$20*$B$20))*E23*B23*B23*COS(RADIANS(P23))*N23</f>
        <v>2.0543034022514339E-2</v>
      </c>
      <c r="X23" s="2">
        <f t="shared" si="1"/>
        <v>-4.659400273075406E-5</v>
      </c>
      <c r="Y23" s="2">
        <f t="shared" si="2"/>
        <v>-1.26338763738909E-2</v>
      </c>
      <c r="Z23" s="2">
        <f t="shared" si="3"/>
        <v>2.1501208675539976E-4</v>
      </c>
    </row>
    <row r="24" spans="1:26" x14ac:dyDescent="0.4">
      <c r="B24" s="2">
        <v>-11.885999999999999</v>
      </c>
      <c r="C24" s="2">
        <v>0.41849999999999998</v>
      </c>
      <c r="D24" s="2">
        <v>-0.19600000000000001</v>
      </c>
      <c r="E24" s="2">
        <v>0.78559299999999999</v>
      </c>
      <c r="F24" s="2">
        <v>9.9249999999999998E-3</v>
      </c>
      <c r="G24" s="2">
        <v>2.6849999999999999E-3</v>
      </c>
      <c r="H24" s="2">
        <v>-4.6940000000000003E-2</v>
      </c>
      <c r="I24" s="2">
        <v>-9.9165000000000003E-2</v>
      </c>
      <c r="J24" s="2">
        <v>0.62409999999999999</v>
      </c>
      <c r="K24" s="2">
        <v>1</v>
      </c>
      <c r="L24" s="2">
        <v>0.371</v>
      </c>
      <c r="M24" s="2">
        <v>9.2896999999999998</v>
      </c>
      <c r="N24" s="2">
        <f t="shared" si="4"/>
        <v>0.51885128000000003</v>
      </c>
      <c r="O24" s="2">
        <f t="shared" si="5"/>
        <v>0.24614304723200001</v>
      </c>
      <c r="P24" s="2">
        <f>IF(ABS(B24)&lt;MainWing.xwimp!$A$3,MainWing.xwimp!$L$2*ABS(B24)+MainWing.xwimp!$M$2,
    IF(ABS(B24)&lt;MainWing.xwimp!$A$4,MainWing.xwimp!$L$3*ABS(B24)+MainWing.xwimp!$M$3,
        IF(ABS(B24)&lt;MainWing.xwimp!$A$5,MainWing.xwimp!$L$4*ABS(B24)+MainWing.xwimp!$M$4,
            IF(ABS(B24)&lt;MainWing.xwimp!$A$6,MainWing.xwimp!$L$5*ABS(B24)+MainWing.xwimp!$M$5,
                MainWing.xwimp!$L$6*ABS(B24)+MainWing.xwimp!$M$6
            )
        )
    )
)</f>
        <v>11.631729852440408</v>
      </c>
      <c r="Q24" s="2">
        <f t="shared" si="6"/>
        <v>0.1096622711232151</v>
      </c>
      <c r="R24" s="2">
        <f t="shared" si="7"/>
        <v>-2.476057861148384E-4</v>
      </c>
      <c r="S24" s="2">
        <f t="shared" si="8"/>
        <v>-6.2172182308832605E-2</v>
      </c>
      <c r="T24" s="2">
        <f t="shared" si="9"/>
        <v>1.5872870728326518E-2</v>
      </c>
      <c r="U24" s="2">
        <f t="shared" si="10"/>
        <v>-5.4255464221964953E-4</v>
      </c>
      <c r="V24" s="2">
        <f t="shared" si="11"/>
        <v>-0.13623189771881514</v>
      </c>
      <c r="W24" s="2">
        <f t="shared" si="12"/>
        <v>3.4780688424671045E-2</v>
      </c>
      <c r="X24" s="2">
        <f t="shared" si="1"/>
        <v>-8.3757840286139191E-5</v>
      </c>
      <c r="Y24" s="2">
        <f t="shared" si="2"/>
        <v>-2.1031042116474434E-2</v>
      </c>
      <c r="Z24" s="2">
        <f t="shared" si="3"/>
        <v>4.8107109570769135E-4</v>
      </c>
    </row>
    <row r="25" spans="1:26" x14ac:dyDescent="0.4">
      <c r="B25" s="2">
        <v>-10.792299999999999</v>
      </c>
      <c r="C25" s="2">
        <v>0.53029999999999999</v>
      </c>
      <c r="D25" s="2">
        <v>-0.315</v>
      </c>
      <c r="E25" s="2">
        <v>0.83476799999999995</v>
      </c>
      <c r="F25" s="2">
        <v>9.2270000000000008E-3</v>
      </c>
      <c r="G25" s="2">
        <v>4.5890000000000002E-3</v>
      </c>
      <c r="H25" s="2">
        <v>-3.6097999999999998E-2</v>
      </c>
      <c r="I25" s="2">
        <v>-9.7748000000000002E-2</v>
      </c>
      <c r="J25" s="2">
        <v>0.57579999999999998</v>
      </c>
      <c r="K25" s="2">
        <v>1</v>
      </c>
      <c r="L25" s="2">
        <v>0.36120000000000002</v>
      </c>
      <c r="M25" s="2">
        <v>38.7087</v>
      </c>
      <c r="N25" s="2">
        <f t="shared" si="4"/>
        <v>0.77974122499999932</v>
      </c>
      <c r="O25" s="2">
        <f t="shared" si="5"/>
        <v>0.44722057959874961</v>
      </c>
      <c r="P25" s="2">
        <f>IF(ABS(B25)&lt;MainWing.xwimp!$A$3,MainWing.xwimp!$L$2*ABS(B25)+MainWing.xwimp!$M$2,
    IF(ABS(B25)&lt;MainWing.xwimp!$A$4,MainWing.xwimp!$L$3*ABS(B25)+MainWing.xwimp!$M$3,
        IF(ABS(B25)&lt;MainWing.xwimp!$A$5,MainWing.xwimp!$L$4*ABS(B25)+MainWing.xwimp!$M$4,
            IF(ABS(B25)&lt;MainWing.xwimp!$A$6,MainWing.xwimp!$L$5*ABS(B25)+MainWing.xwimp!$M$5,
                MainWing.xwimp!$L$6*ABS(B25)+MainWing.xwimp!$M$6
            )
        )
    )
)</f>
        <v>11.881257321225879</v>
      </c>
      <c r="Q25" s="2">
        <f t="shared" si="6"/>
        <v>0.1096622711232151</v>
      </c>
      <c r="R25" s="2">
        <f t="shared" si="7"/>
        <v>-3.880119708912101E-4</v>
      </c>
      <c r="S25" s="2">
        <f t="shared" si="8"/>
        <v>-8.6551925017583825E-2</v>
      </c>
      <c r="T25" s="2">
        <f t="shared" si="9"/>
        <v>2.3501626473560175E-2</v>
      </c>
      <c r="U25" s="2">
        <f t="shared" si="10"/>
        <v>-7.553080327480444E-4</v>
      </c>
      <c r="V25" s="2">
        <f t="shared" si="11"/>
        <v>-0.16848285393214502</v>
      </c>
      <c r="W25" s="2">
        <f t="shared" si="12"/>
        <v>4.5748504143706084E-2</v>
      </c>
      <c r="X25" s="2">
        <f t="shared" si="1"/>
        <v>-1.2274423450009904E-4</v>
      </c>
      <c r="Y25" s="2">
        <f t="shared" si="2"/>
        <v>-2.7379953655532849E-2</v>
      </c>
      <c r="Z25" s="2">
        <f t="shared" si="3"/>
        <v>7.0720523504790543E-4</v>
      </c>
    </row>
    <row r="26" spans="1:26" x14ac:dyDescent="0.4">
      <c r="B26" s="2">
        <v>-9.4328000000000003</v>
      </c>
      <c r="C26" s="2">
        <v>0.61680000000000001</v>
      </c>
      <c r="D26" s="2">
        <v>-0.25700000000000001</v>
      </c>
      <c r="E26" s="2">
        <v>0.88488299999999998</v>
      </c>
      <c r="F26" s="2">
        <v>9.1210000000000006E-3</v>
      </c>
      <c r="G26" s="2">
        <v>3.9639999999999996E-3</v>
      </c>
      <c r="H26" s="2">
        <v>-3.0136E-2</v>
      </c>
      <c r="I26" s="2">
        <v>-9.6337999999999993E-2</v>
      </c>
      <c r="J26" s="2">
        <v>0.5333</v>
      </c>
      <c r="K26" s="2">
        <v>1</v>
      </c>
      <c r="L26" s="2">
        <v>0.35239999999999999</v>
      </c>
      <c r="M26" s="2">
        <v>114.8674</v>
      </c>
      <c r="N26" s="2">
        <f t="shared" si="4"/>
        <v>1.0587988400000004</v>
      </c>
      <c r="O26" s="2">
        <f t="shared" si="5"/>
        <v>0.70431298836800027</v>
      </c>
      <c r="P26" s="2">
        <f>IF(ABS(B26)&lt;MainWing.xwimp!$A$3,MainWing.xwimp!$L$2*ABS(B26)+MainWing.xwimp!$M$2,
    IF(ABS(B26)&lt;MainWing.xwimp!$A$4,MainWing.xwimp!$L$3*ABS(B26)+MainWing.xwimp!$M$3,
        IF(ABS(B26)&lt;MainWing.xwimp!$A$5,MainWing.xwimp!$L$4*ABS(B26)+MainWing.xwimp!$M$4,
            IF(ABS(B26)&lt;MainWing.xwimp!$A$6,MainWing.xwimp!$L$5*ABS(B26)+MainWing.xwimp!$M$5,
                MainWing.xwimp!$L$6*ABS(B26)+MainWing.xwimp!$M$6
            )
        )
    )
)</f>
        <v>11.429907631430186</v>
      </c>
      <c r="Q26" s="2">
        <f t="shared" si="6"/>
        <v>0.1096622711232151</v>
      </c>
      <c r="R26" s="2">
        <f t="shared" si="7"/>
        <v>-4.8812829653056789E-4</v>
      </c>
      <c r="S26" s="2">
        <f t="shared" si="8"/>
        <v>-9.9034152129165789E-2</v>
      </c>
      <c r="T26" s="2">
        <f t="shared" si="9"/>
        <v>2.8459057038549646E-2</v>
      </c>
      <c r="U26" s="2">
        <f t="shared" si="10"/>
        <v>-8.6423601328744785E-4</v>
      </c>
      <c r="V26" s="2">
        <f t="shared" si="11"/>
        <v>-0.17534095323656998</v>
      </c>
      <c r="W26" s="2">
        <f t="shared" si="12"/>
        <v>5.0387044086013133E-2</v>
      </c>
      <c r="X26" s="2">
        <f t="shared" si="1"/>
        <v>-1.4724781810834011E-4</v>
      </c>
      <c r="Y26" s="2">
        <f t="shared" si="2"/>
        <v>-2.9874446785561198E-2</v>
      </c>
      <c r="Z26" s="2">
        <f t="shared" si="3"/>
        <v>8.1597111483463342E-4</v>
      </c>
    </row>
    <row r="27" spans="1:26" x14ac:dyDescent="0.4">
      <c r="B27" s="2">
        <v>-7.8411</v>
      </c>
      <c r="C27" s="2">
        <v>0.71360000000000001</v>
      </c>
      <c r="D27" s="2">
        <v>-0.33600000000000002</v>
      </c>
      <c r="E27" s="2">
        <v>0.92605300000000002</v>
      </c>
      <c r="F27" s="2">
        <v>9.0609999999999996E-3</v>
      </c>
      <c r="G27" s="2">
        <v>5.4320000000000002E-3</v>
      </c>
      <c r="H27" s="2">
        <v>-2.2350999999999999E-2</v>
      </c>
      <c r="I27" s="2">
        <v>-9.5229999999999995E-2</v>
      </c>
      <c r="J27" s="2">
        <v>0.4955</v>
      </c>
      <c r="K27" s="2">
        <v>1</v>
      </c>
      <c r="L27" s="2">
        <v>0.3458</v>
      </c>
      <c r="M27" s="2">
        <v>272.80149999999998</v>
      </c>
      <c r="N27" s="2">
        <f t="shared" si="4"/>
        <v>1.3451898850000001</v>
      </c>
      <c r="O27" s="2">
        <f t="shared" si="5"/>
        <v>1.0138023568302501</v>
      </c>
      <c r="P27" s="2">
        <f>IF(ABS(B27)&lt;MainWing.xwimp!$A$3,MainWing.xwimp!$L$2*ABS(B27)+MainWing.xwimp!$M$2,
    IF(ABS(B27)&lt;MainWing.xwimp!$A$4,MainWing.xwimp!$L$3*ABS(B27)+MainWing.xwimp!$M$3,
        IF(ABS(B27)&lt;MainWing.xwimp!$A$5,MainWing.xwimp!$L$4*ABS(B27)+MainWing.xwimp!$M$4,
            IF(ABS(B27)&lt;MainWing.xwimp!$A$6,MainWing.xwimp!$L$5*ABS(B27)+MainWing.xwimp!$M$5,
                MainWing.xwimp!$L$6*ABS(B27)+MainWing.xwimp!$M$6
            )
        )
    )
)</f>
        <v>10.834257320520068</v>
      </c>
      <c r="Q27" s="2">
        <f t="shared" si="6"/>
        <v>0.1096622711232151</v>
      </c>
      <c r="R27" s="2">
        <f t="shared" si="7"/>
        <v>-5.5796025024653826E-4</v>
      </c>
      <c r="S27" s="2">
        <f t="shared" si="8"/>
        <v>-9.9409866920139617E-2</v>
      </c>
      <c r="T27" s="2">
        <f t="shared" si="9"/>
        <v>2.9835036246618239E-2</v>
      </c>
      <c r="U27" s="2">
        <f t="shared" si="10"/>
        <v>-8.675147433629155E-4</v>
      </c>
      <c r="V27" s="2">
        <f t="shared" si="11"/>
        <v>-0.15456213081641754</v>
      </c>
      <c r="W27" s="2">
        <f t="shared" si="12"/>
        <v>4.6387415234816515E-2</v>
      </c>
      <c r="X27" s="2">
        <f t="shared" si="1"/>
        <v>-1.5328965709157739E-4</v>
      </c>
      <c r="Y27" s="2">
        <f t="shared" si="2"/>
        <v>-2.7311093227473306E-2</v>
      </c>
      <c r="Z27" s="2">
        <f t="shared" si="3"/>
        <v>7.7436005278557363E-4</v>
      </c>
    </row>
    <row r="28" spans="1:26" x14ac:dyDescent="0.4">
      <c r="B28" s="2">
        <v>-6.0561999999999996</v>
      </c>
      <c r="C28" s="2">
        <v>0.79369999999999996</v>
      </c>
      <c r="D28" s="2">
        <v>-0.42699999999999999</v>
      </c>
      <c r="E28" s="2">
        <v>0.98342300000000005</v>
      </c>
      <c r="F28" s="2">
        <v>8.9580000000000007E-3</v>
      </c>
      <c r="G28" s="2">
        <v>7.3270000000000002E-3</v>
      </c>
      <c r="H28" s="2">
        <v>-2.2547999999999999E-2</v>
      </c>
      <c r="I28" s="2">
        <v>-0.10162599999999999</v>
      </c>
      <c r="J28" s="2">
        <v>0.50160000000000005</v>
      </c>
      <c r="K28" s="2">
        <v>1</v>
      </c>
      <c r="L28" s="2">
        <v>0.34560000000000002</v>
      </c>
      <c r="M28" s="2">
        <v>556.69169999999997</v>
      </c>
      <c r="N28" s="2">
        <f t="shared" si="4"/>
        <v>1.6005923349999995</v>
      </c>
      <c r="O28" s="2">
        <f t="shared" si="5"/>
        <v>1.3247302460627497</v>
      </c>
      <c r="P28" s="2">
        <f>IF(ABS(B28)&lt;MainWing.xwimp!$A$3,MainWing.xwimp!$L$2*ABS(B28)+MainWing.xwimp!$M$2,
    IF(ABS(B28)&lt;MainWing.xwimp!$A$4,MainWing.xwimp!$L$3*ABS(B28)+MainWing.xwimp!$M$3,
        IF(ABS(B28)&lt;MainWing.xwimp!$A$5,MainWing.xwimp!$L$4*ABS(B28)+MainWing.xwimp!$M$4,
            IF(ABS(B28)&lt;MainWing.xwimp!$A$6,MainWing.xwimp!$L$5*ABS(B28)+MainWing.xwimp!$M$5,
                MainWing.xwimp!$L$6*ABS(B28)+MainWing.xwimp!$M$6
            )
        )
    )
)</f>
        <v>9.9311320977253601</v>
      </c>
      <c r="Q28" s="2">
        <f t="shared" si="6"/>
        <v>0.1096622711232151</v>
      </c>
      <c r="R28" s="2">
        <f t="shared" si="7"/>
        <v>-5.5889271066234588E-4</v>
      </c>
      <c r="S28" s="2">
        <f t="shared" si="8"/>
        <v>-8.4065569240718757E-2</v>
      </c>
      <c r="T28" s="2">
        <f t="shared" si="9"/>
        <v>2.671563287004812E-2</v>
      </c>
      <c r="U28" s="2">
        <f t="shared" si="10"/>
        <v>-7.3361048540690585E-4</v>
      </c>
      <c r="V28" s="2">
        <f t="shared" si="11"/>
        <v>-0.11034565647421761</v>
      </c>
      <c r="W28" s="2">
        <f t="shared" si="12"/>
        <v>3.5067317973286841E-2</v>
      </c>
      <c r="X28" s="2">
        <f t="shared" si="1"/>
        <v>-1.3605260261771254E-4</v>
      </c>
      <c r="Y28" s="2">
        <f t="shared" si="2"/>
        <v>-2.0464284589049062E-2</v>
      </c>
      <c r="Z28" s="2">
        <f t="shared" si="3"/>
        <v>6.07743203294529E-4</v>
      </c>
    </row>
    <row r="29" spans="1:26" x14ac:dyDescent="0.4">
      <c r="B29" s="2">
        <v>-4.1223000000000001</v>
      </c>
      <c r="C29" s="2">
        <v>0.86160000000000003</v>
      </c>
      <c r="D29" s="2">
        <v>-0.64700000000000002</v>
      </c>
      <c r="E29" s="2">
        <v>1.0407949999999999</v>
      </c>
      <c r="F29" s="2">
        <v>8.6149999999999994E-3</v>
      </c>
      <c r="G29" s="2">
        <v>1.1745E-2</v>
      </c>
      <c r="H29" s="2">
        <v>-3.0505999999999998E-2</v>
      </c>
      <c r="I29" s="2">
        <v>-0.113733</v>
      </c>
      <c r="J29" s="2">
        <v>0.54569999999999996</v>
      </c>
      <c r="K29" s="2">
        <v>1</v>
      </c>
      <c r="L29" s="2">
        <v>0.35149999999999998</v>
      </c>
      <c r="M29" s="2">
        <v>1014.8514</v>
      </c>
      <c r="N29" s="2">
        <f t="shared" si="4"/>
        <v>1.7725134</v>
      </c>
      <c r="O29" s="2">
        <f t="shared" si="5"/>
        <v>1.54350466872</v>
      </c>
      <c r="P29" s="2">
        <f>IF(ABS(B29)&lt;MainWing.xwimp!$A$3,MainWing.xwimp!$L$2*ABS(B29)+MainWing.xwimp!$M$2,
    IF(ABS(B29)&lt;MainWing.xwimp!$A$4,MainWing.xwimp!$L$3*ABS(B29)+MainWing.xwimp!$M$3,
        IF(ABS(B29)&lt;MainWing.xwimp!$A$5,MainWing.xwimp!$L$4*ABS(B29)+MainWing.xwimp!$M$4,
            IF(ABS(B29)&lt;MainWing.xwimp!$A$6,MainWing.xwimp!$L$5*ABS(B29)+MainWing.xwimp!$M$5,
                MainWing.xwimp!$L$6*ABS(B29)+MainWing.xwimp!$M$6
            )
        )
    )
)</f>
        <v>8.7950133670317339</v>
      </c>
      <c r="Q29" s="2">
        <f t="shared" si="6"/>
        <v>0.1096622711232151</v>
      </c>
      <c r="R29" s="2">
        <f t="shared" si="7"/>
        <v>-4.8646611971636688E-4</v>
      </c>
      <c r="S29" s="2">
        <f t="shared" si="8"/>
        <v>-5.6362988160570296E-2</v>
      </c>
      <c r="T29" s="2">
        <f t="shared" si="9"/>
        <v>1.8894968056579482E-2</v>
      </c>
      <c r="U29" s="2">
        <f t="shared" si="10"/>
        <v>-4.9185985983226711E-4</v>
      </c>
      <c r="V29" s="2">
        <f t="shared" si="11"/>
        <v>-5.6987918238888831E-2</v>
      </c>
      <c r="W29" s="2">
        <f t="shared" si="12"/>
        <v>1.9104467840973187E-2</v>
      </c>
      <c r="X29" s="2">
        <f t="shared" si="1"/>
        <v>-9.5463047345039893E-5</v>
      </c>
      <c r="Y29" s="2">
        <f t="shared" si="2"/>
        <v>-1.1060549520730408E-2</v>
      </c>
      <c r="Z29" s="2">
        <f t="shared" si="3"/>
        <v>3.4608632782103654E-4</v>
      </c>
    </row>
    <row r="30" spans="1:26" x14ac:dyDescent="0.4">
      <c r="B30" s="2">
        <v>-2.0868000000000002</v>
      </c>
      <c r="C30" s="2">
        <v>0.88</v>
      </c>
      <c r="D30" s="2">
        <v>-0.59899999999999998</v>
      </c>
      <c r="E30" s="2">
        <v>1.0761130000000001</v>
      </c>
      <c r="F30" s="2">
        <v>8.6230000000000005E-3</v>
      </c>
      <c r="G30" s="2">
        <v>1.1243E-2</v>
      </c>
      <c r="H30" s="2">
        <v>-3.1815000000000003E-2</v>
      </c>
      <c r="I30" s="2">
        <v>-0.116839</v>
      </c>
      <c r="J30" s="2">
        <v>0.55259999999999998</v>
      </c>
      <c r="K30" s="2">
        <v>1</v>
      </c>
      <c r="L30" s="2">
        <v>0.35060000000000002</v>
      </c>
      <c r="M30" s="2">
        <v>1691.3656000000001</v>
      </c>
      <c r="N30" s="2">
        <f t="shared" si="4"/>
        <v>1.8363840000000002</v>
      </c>
      <c r="O30" s="2">
        <f t="shared" si="5"/>
        <v>1.6160179200000002</v>
      </c>
      <c r="P30" s="2">
        <f>IF(ABS(B30)&lt;MainWing.xwimp!$A$3,MainWing.xwimp!$L$2*ABS(B30)+MainWing.xwimp!$M$2,
    IF(ABS(B30)&lt;MainWing.xwimp!$A$4,MainWing.xwimp!$L$3*ABS(B30)+MainWing.xwimp!$M$3,
        IF(ABS(B30)&lt;MainWing.xwimp!$A$5,MainWing.xwimp!$L$4*ABS(B30)+MainWing.xwimp!$M$4,
            IF(ABS(B30)&lt;MainWing.xwimp!$A$6,MainWing.xwimp!$L$5*ABS(B30)+MainWing.xwimp!$M$5,
                MainWing.xwimp!$L$6*ABS(B30)+MainWing.xwimp!$M$6
            )
        )
    )
)</f>
        <v>5.5372619232907176</v>
      </c>
      <c r="Q30" s="2">
        <f t="shared" si="6"/>
        <v>0.1096622711232151</v>
      </c>
      <c r="R30" s="2">
        <f t="shared" si="7"/>
        <v>-2.0072660273945966E-4</v>
      </c>
      <c r="S30" s="2">
        <f t="shared" si="8"/>
        <v>-1.878901073876945E-2</v>
      </c>
      <c r="T30" s="2">
        <f t="shared" si="9"/>
        <v>6.4661121185553153E-3</v>
      </c>
      <c r="U30" s="2">
        <f t="shared" si="10"/>
        <v>-1.6396505029204957E-4</v>
      </c>
      <c r="V30" s="2">
        <f t="shared" si="11"/>
        <v>-1.5347946154994468E-2</v>
      </c>
      <c r="W30" s="2">
        <f t="shared" si="12"/>
        <v>5.2818928046577838E-3</v>
      </c>
      <c r="X30" s="2">
        <f t="shared" si="1"/>
        <v>-3.252221347916023E-5</v>
      </c>
      <c r="Y30" s="2">
        <f t="shared" si="2"/>
        <v>-3.0442413211249422E-3</v>
      </c>
      <c r="Z30" s="2">
        <f t="shared" si="3"/>
        <v>9.6403862132966517E-5</v>
      </c>
    </row>
    <row r="31" spans="1:26" x14ac:dyDescent="0.4">
      <c r="B31" s="2">
        <v>0</v>
      </c>
      <c r="C31" s="2">
        <v>0.88</v>
      </c>
      <c r="D31" s="2">
        <v>-0.57599999999999996</v>
      </c>
      <c r="E31" s="2">
        <v>1.0902000000000001</v>
      </c>
      <c r="F31" s="2">
        <v>8.6990000000000001E-3</v>
      </c>
      <c r="G31" s="2">
        <v>1.0962E-2</v>
      </c>
      <c r="H31" s="2">
        <v>-3.1874E-2</v>
      </c>
      <c r="I31" s="2">
        <v>-0.116768</v>
      </c>
      <c r="J31" s="2">
        <v>0.54910000000000003</v>
      </c>
      <c r="K31" s="2">
        <v>1</v>
      </c>
      <c r="L31" s="2">
        <v>0.34889999999999999</v>
      </c>
      <c r="M31" s="2">
        <v>2603.4337</v>
      </c>
      <c r="N31" s="2">
        <f t="shared" si="4"/>
        <v>0</v>
      </c>
      <c r="O31" s="2">
        <f t="shared" si="5"/>
        <v>0</v>
      </c>
      <c r="P31" s="2">
        <f>IF(ABS(B31)&lt;MainWing.xwimp!$A$3,MainWing.xwimp!$L$2*ABS(B31)+MainWing.xwimp!$M$2,
    IF(ABS(B31)&lt;MainWing.xwimp!$A$4,MainWing.xwimp!$L$3*ABS(B31)+MainWing.xwimp!$M$3,
        IF(ABS(B31)&lt;MainWing.xwimp!$A$5,MainWing.xwimp!$L$4*ABS(B31)+MainWing.xwimp!$M$4,
            IF(ABS(B31)&lt;MainWing.xwimp!$A$6,MainWing.xwimp!$L$5*ABS(B31)+MainWing.xwimp!$M$5,
                MainWing.xwimp!$L$6*ABS(B31)+MainWing.xwimp!$M$6
            )
        )
    )
)</f>
        <v>1.4639999999999995</v>
      </c>
      <c r="Q31" s="2">
        <f t="shared" si="6"/>
        <v>0.1096622711232151</v>
      </c>
      <c r="R31" s="2">
        <f t="shared" si="7"/>
        <v>0</v>
      </c>
      <c r="S31" s="2">
        <f t="shared" si="8"/>
        <v>0</v>
      </c>
      <c r="T31" s="2">
        <f t="shared" si="9"/>
        <v>0</v>
      </c>
      <c r="U31" s="2">
        <f t="shared" si="10"/>
        <v>0</v>
      </c>
      <c r="V31" s="2">
        <f t="shared" si="11"/>
        <v>0</v>
      </c>
      <c r="W31" s="2">
        <f t="shared" si="12"/>
        <v>0</v>
      </c>
      <c r="X31" s="2">
        <f t="shared" si="1"/>
        <v>0</v>
      </c>
      <c r="Y31" s="2">
        <f t="shared" si="2"/>
        <v>0</v>
      </c>
      <c r="Z31" s="2">
        <f t="shared" si="3"/>
        <v>0</v>
      </c>
    </row>
    <row r="32" spans="1:26" x14ac:dyDescent="0.4">
      <c r="B32" s="2">
        <v>2.0868000000000002</v>
      </c>
      <c r="C32" s="2">
        <v>0.88</v>
      </c>
      <c r="D32" s="2">
        <v>-0.59899999999999998</v>
      </c>
      <c r="E32" s="2">
        <v>1.0761130000000001</v>
      </c>
      <c r="F32" s="2">
        <v>8.6230000000000005E-3</v>
      </c>
      <c r="G32" s="2">
        <v>1.1243E-2</v>
      </c>
      <c r="H32" s="2">
        <v>-3.1815000000000003E-2</v>
      </c>
      <c r="I32" s="2">
        <v>-0.116839</v>
      </c>
      <c r="J32" s="2">
        <v>0.55259999999999998</v>
      </c>
      <c r="K32" s="2">
        <v>1</v>
      </c>
      <c r="L32" s="2">
        <v>0.35060000000000002</v>
      </c>
      <c r="M32" s="2">
        <v>1691.3656000000001</v>
      </c>
      <c r="N32" s="2">
        <f t="shared" si="4"/>
        <v>1.8363840000000002</v>
      </c>
      <c r="O32" s="2">
        <f t="shared" si="5"/>
        <v>1.6160179200000002</v>
      </c>
      <c r="P32" s="2">
        <f>IF(ABS(B32)&lt;MainWing.xwimp!$A$3,MainWing.xwimp!$L$2*ABS(B32)+MainWing.xwimp!$M$2,
    IF(ABS(B32)&lt;MainWing.xwimp!$A$4,MainWing.xwimp!$L$3*ABS(B32)+MainWing.xwimp!$M$3,
        IF(ABS(B32)&lt;MainWing.xwimp!$A$5,MainWing.xwimp!$L$4*ABS(B32)+MainWing.xwimp!$M$4,
            IF(ABS(B32)&lt;MainWing.xwimp!$A$6,MainWing.xwimp!$L$5*ABS(B32)+MainWing.xwimp!$M$5,
                MainWing.xwimp!$L$6*ABS(B32)+MainWing.xwimp!$M$6
            )
        )
    )
)</f>
        <v>5.5372619232907176</v>
      </c>
      <c r="Q32" s="2">
        <f t="shared" si="6"/>
        <v>0.1096622711232151</v>
      </c>
      <c r="R32" s="2">
        <f t="shared" si="7"/>
        <v>-2.0072660273945966E-4</v>
      </c>
      <c r="S32" s="2">
        <f t="shared" si="8"/>
        <v>-1.878901073876945E-2</v>
      </c>
      <c r="T32" s="2">
        <f t="shared" si="9"/>
        <v>6.4661121185553153E-3</v>
      </c>
      <c r="U32" s="2">
        <f t="shared" si="10"/>
        <v>-1.6396505029204957E-4</v>
      </c>
      <c r="V32" s="2">
        <f t="shared" si="11"/>
        <v>-1.5347946154994468E-2</v>
      </c>
      <c r="W32" s="2">
        <f t="shared" si="12"/>
        <v>5.2818928046577838E-3</v>
      </c>
      <c r="X32" s="2">
        <f t="shared" si="1"/>
        <v>-3.252221347916023E-5</v>
      </c>
      <c r="Y32" s="2">
        <f t="shared" si="2"/>
        <v>-3.0442413211249422E-3</v>
      </c>
      <c r="Z32" s="2">
        <f t="shared" si="3"/>
        <v>9.6403862132966517E-5</v>
      </c>
    </row>
    <row r="33" spans="2:26" x14ac:dyDescent="0.4">
      <c r="B33" s="2">
        <v>4.1223000000000001</v>
      </c>
      <c r="C33" s="2">
        <v>0.86160000000000003</v>
      </c>
      <c r="D33" s="2">
        <v>-0.64700000000000002</v>
      </c>
      <c r="E33" s="2">
        <v>1.0407949999999999</v>
      </c>
      <c r="F33" s="2">
        <v>8.6149999999999994E-3</v>
      </c>
      <c r="G33" s="2">
        <v>1.1745E-2</v>
      </c>
      <c r="H33" s="2">
        <v>-3.0505999999999998E-2</v>
      </c>
      <c r="I33" s="2">
        <v>-0.113733</v>
      </c>
      <c r="J33" s="2">
        <v>0.54569999999999996</v>
      </c>
      <c r="K33" s="2">
        <v>1</v>
      </c>
      <c r="L33" s="2">
        <v>0.35149999999999998</v>
      </c>
      <c r="M33" s="2">
        <v>1014.8514</v>
      </c>
      <c r="N33" s="2">
        <f t="shared" si="4"/>
        <v>1.7725134</v>
      </c>
      <c r="O33" s="2">
        <f t="shared" si="5"/>
        <v>1.54350466872</v>
      </c>
      <c r="P33" s="2">
        <f>IF(ABS(B33)&lt;MainWing.xwimp!$A$3,MainWing.xwimp!$L$2*ABS(B33)+MainWing.xwimp!$M$2,
    IF(ABS(B33)&lt;MainWing.xwimp!$A$4,MainWing.xwimp!$L$3*ABS(B33)+MainWing.xwimp!$M$3,
        IF(ABS(B33)&lt;MainWing.xwimp!$A$5,MainWing.xwimp!$L$4*ABS(B33)+MainWing.xwimp!$M$4,
            IF(ABS(B33)&lt;MainWing.xwimp!$A$6,MainWing.xwimp!$L$5*ABS(B33)+MainWing.xwimp!$M$5,
                MainWing.xwimp!$L$6*ABS(B33)+MainWing.xwimp!$M$6
            )
        )
    )
)</f>
        <v>8.7950133670317339</v>
      </c>
      <c r="Q33" s="2">
        <f t="shared" si="6"/>
        <v>0.1096622711232151</v>
      </c>
      <c r="R33" s="2">
        <f t="shared" si="7"/>
        <v>-4.8646611971636688E-4</v>
      </c>
      <c r="S33" s="2">
        <f t="shared" si="8"/>
        <v>-5.6362988160570296E-2</v>
      </c>
      <c r="T33" s="2">
        <f t="shared" si="9"/>
        <v>1.8894968056579482E-2</v>
      </c>
      <c r="U33" s="2">
        <f t="shared" si="10"/>
        <v>-4.9185985983226711E-4</v>
      </c>
      <c r="V33" s="2">
        <f t="shared" si="11"/>
        <v>-5.6987918238888831E-2</v>
      </c>
      <c r="W33" s="2">
        <f t="shared" si="12"/>
        <v>1.9104467840973187E-2</v>
      </c>
      <c r="X33" s="2">
        <f t="shared" si="1"/>
        <v>-9.5463047345039893E-5</v>
      </c>
      <c r="Y33" s="2">
        <f t="shared" si="2"/>
        <v>-1.1060549520730408E-2</v>
      </c>
      <c r="Z33" s="2">
        <f t="shared" si="3"/>
        <v>3.4608632782103654E-4</v>
      </c>
    </row>
    <row r="34" spans="2:26" x14ac:dyDescent="0.4">
      <c r="B34" s="2">
        <v>6.0561999999999996</v>
      </c>
      <c r="C34" s="2">
        <v>0.79369999999999996</v>
      </c>
      <c r="D34" s="2">
        <v>-0.42699999999999999</v>
      </c>
      <c r="E34" s="2">
        <v>0.98342300000000005</v>
      </c>
      <c r="F34" s="2">
        <v>8.9580000000000007E-3</v>
      </c>
      <c r="G34" s="2">
        <v>7.3270000000000002E-3</v>
      </c>
      <c r="H34" s="2">
        <v>-2.2547999999999999E-2</v>
      </c>
      <c r="I34" s="2">
        <v>-0.10162599999999999</v>
      </c>
      <c r="J34" s="2">
        <v>0.50160000000000005</v>
      </c>
      <c r="K34" s="2">
        <v>1</v>
      </c>
      <c r="L34" s="2">
        <v>0.34560000000000002</v>
      </c>
      <c r="M34" s="2">
        <v>556.69169999999997</v>
      </c>
      <c r="N34" s="2">
        <f t="shared" si="4"/>
        <v>1.6005923349999995</v>
      </c>
      <c r="O34" s="2">
        <f t="shared" si="5"/>
        <v>1.3247302460627497</v>
      </c>
      <c r="P34" s="2">
        <f>IF(ABS(B34)&lt;MainWing.xwimp!$A$3,MainWing.xwimp!$L$2*ABS(B34)+MainWing.xwimp!$M$2,
    IF(ABS(B34)&lt;MainWing.xwimp!$A$4,MainWing.xwimp!$L$3*ABS(B34)+MainWing.xwimp!$M$3,
        IF(ABS(B34)&lt;MainWing.xwimp!$A$5,MainWing.xwimp!$L$4*ABS(B34)+MainWing.xwimp!$M$4,
            IF(ABS(B34)&lt;MainWing.xwimp!$A$6,MainWing.xwimp!$L$5*ABS(B34)+MainWing.xwimp!$M$5,
                MainWing.xwimp!$L$6*ABS(B34)+MainWing.xwimp!$M$6
            )
        )
    )
)</f>
        <v>9.9311320977253601</v>
      </c>
      <c r="Q34" s="2">
        <f t="shared" si="6"/>
        <v>0.1096622711232151</v>
      </c>
      <c r="R34" s="2">
        <f t="shared" si="7"/>
        <v>-5.5889271066234588E-4</v>
      </c>
      <c r="S34" s="2">
        <f t="shared" si="8"/>
        <v>-8.4065569240718757E-2</v>
      </c>
      <c r="T34" s="2">
        <f t="shared" si="9"/>
        <v>2.671563287004812E-2</v>
      </c>
      <c r="U34" s="2">
        <f t="shared" si="10"/>
        <v>-7.3361048540690585E-4</v>
      </c>
      <c r="V34" s="2">
        <f t="shared" si="11"/>
        <v>-0.11034565647421761</v>
      </c>
      <c r="W34" s="2">
        <f t="shared" si="12"/>
        <v>3.5067317973286841E-2</v>
      </c>
      <c r="X34" s="2">
        <f t="shared" si="1"/>
        <v>-1.3605260261771254E-4</v>
      </c>
      <c r="Y34" s="2">
        <f t="shared" si="2"/>
        <v>-2.0464284589049062E-2</v>
      </c>
      <c r="Z34" s="2">
        <f t="shared" si="3"/>
        <v>6.07743203294529E-4</v>
      </c>
    </row>
    <row r="35" spans="2:26" x14ac:dyDescent="0.4">
      <c r="B35" s="2">
        <v>7.8411</v>
      </c>
      <c r="C35" s="2">
        <v>0.71360000000000001</v>
      </c>
      <c r="D35" s="2">
        <v>-0.33600000000000002</v>
      </c>
      <c r="E35" s="2">
        <v>0.92605300000000002</v>
      </c>
      <c r="F35" s="2">
        <v>9.0609999999999996E-3</v>
      </c>
      <c r="G35" s="2">
        <v>5.4320000000000002E-3</v>
      </c>
      <c r="H35" s="2">
        <v>-2.2350999999999999E-2</v>
      </c>
      <c r="I35" s="2">
        <v>-9.5229999999999995E-2</v>
      </c>
      <c r="J35" s="2">
        <v>0.4955</v>
      </c>
      <c r="K35" s="2">
        <v>1</v>
      </c>
      <c r="L35" s="2">
        <v>0.3458</v>
      </c>
      <c r="M35" s="2">
        <v>272.80149999999998</v>
      </c>
      <c r="N35" s="2">
        <f t="shared" si="4"/>
        <v>1.3451898850000001</v>
      </c>
      <c r="O35" s="2">
        <f t="shared" si="5"/>
        <v>1.0138023568302501</v>
      </c>
      <c r="P35" s="2">
        <f>IF(ABS(B35)&lt;MainWing.xwimp!$A$3,MainWing.xwimp!$L$2*ABS(B35)+MainWing.xwimp!$M$2,
    IF(ABS(B35)&lt;MainWing.xwimp!$A$4,MainWing.xwimp!$L$3*ABS(B35)+MainWing.xwimp!$M$3,
        IF(ABS(B35)&lt;MainWing.xwimp!$A$5,MainWing.xwimp!$L$4*ABS(B35)+MainWing.xwimp!$M$4,
            IF(ABS(B35)&lt;MainWing.xwimp!$A$6,MainWing.xwimp!$L$5*ABS(B35)+MainWing.xwimp!$M$5,
                MainWing.xwimp!$L$6*ABS(B35)+MainWing.xwimp!$M$6
            )
        )
    )
)</f>
        <v>10.834257320520068</v>
      </c>
      <c r="Q35" s="2">
        <f t="shared" si="6"/>
        <v>0.1096622711232151</v>
      </c>
      <c r="R35" s="2">
        <f t="shared" si="7"/>
        <v>-5.5796025024653826E-4</v>
      </c>
      <c r="S35" s="2">
        <f t="shared" si="8"/>
        <v>-9.9409866920139617E-2</v>
      </c>
      <c r="T35" s="2">
        <f t="shared" si="9"/>
        <v>2.9835036246618239E-2</v>
      </c>
      <c r="U35" s="2">
        <f t="shared" si="10"/>
        <v>-8.675147433629155E-4</v>
      </c>
      <c r="V35" s="2">
        <f t="shared" si="11"/>
        <v>-0.15456213081641754</v>
      </c>
      <c r="W35" s="2">
        <f t="shared" si="12"/>
        <v>4.6387415234816515E-2</v>
      </c>
      <c r="X35" s="2">
        <f t="shared" si="1"/>
        <v>-1.5328965709157739E-4</v>
      </c>
      <c r="Y35" s="2">
        <f t="shared" si="2"/>
        <v>-2.7311093227473306E-2</v>
      </c>
      <c r="Z35" s="2">
        <f t="shared" si="3"/>
        <v>7.7436005278557363E-4</v>
      </c>
    </row>
    <row r="36" spans="2:26" x14ac:dyDescent="0.4">
      <c r="B36" s="2">
        <v>9.4328000000000003</v>
      </c>
      <c r="C36" s="2">
        <v>0.61680000000000001</v>
      </c>
      <c r="D36" s="2">
        <v>-0.25700000000000001</v>
      </c>
      <c r="E36" s="2">
        <v>0.88488299999999998</v>
      </c>
      <c r="F36" s="2">
        <v>9.1210000000000006E-3</v>
      </c>
      <c r="G36" s="2">
        <v>3.9639999999999996E-3</v>
      </c>
      <c r="H36" s="2">
        <v>-3.0136E-2</v>
      </c>
      <c r="I36" s="2">
        <v>-9.6337999999999993E-2</v>
      </c>
      <c r="J36" s="2">
        <v>0.5333</v>
      </c>
      <c r="K36" s="2">
        <v>1</v>
      </c>
      <c r="L36" s="2">
        <v>0.35239999999999999</v>
      </c>
      <c r="M36" s="2">
        <v>114.8674</v>
      </c>
      <c r="N36" s="2">
        <f t="shared" si="4"/>
        <v>1.0587988400000004</v>
      </c>
      <c r="O36" s="2">
        <f t="shared" si="5"/>
        <v>0.70431298836800027</v>
      </c>
      <c r="P36" s="2">
        <f>IF(ABS(B36)&lt;MainWing.xwimp!$A$3,MainWing.xwimp!$L$2*ABS(B36)+MainWing.xwimp!$M$2,
    IF(ABS(B36)&lt;MainWing.xwimp!$A$4,MainWing.xwimp!$L$3*ABS(B36)+MainWing.xwimp!$M$3,
        IF(ABS(B36)&lt;MainWing.xwimp!$A$5,MainWing.xwimp!$L$4*ABS(B36)+MainWing.xwimp!$M$4,
            IF(ABS(B36)&lt;MainWing.xwimp!$A$6,MainWing.xwimp!$L$5*ABS(B36)+MainWing.xwimp!$M$5,
                MainWing.xwimp!$L$6*ABS(B36)+MainWing.xwimp!$M$6
            )
        )
    )
)</f>
        <v>11.429907631430186</v>
      </c>
      <c r="Q36" s="2">
        <f t="shared" si="6"/>
        <v>0.1096622711232151</v>
      </c>
      <c r="R36" s="2">
        <f t="shared" si="7"/>
        <v>-4.8812829653056789E-4</v>
      </c>
      <c r="S36" s="2">
        <f t="shared" si="8"/>
        <v>-9.9034152129165789E-2</v>
      </c>
      <c r="T36" s="2">
        <f t="shared" si="9"/>
        <v>2.8459057038549646E-2</v>
      </c>
      <c r="U36" s="2">
        <f t="shared" si="10"/>
        <v>-8.6423601328744785E-4</v>
      </c>
      <c r="V36" s="2">
        <f t="shared" si="11"/>
        <v>-0.17534095323656998</v>
      </c>
      <c r="W36" s="2">
        <f t="shared" si="12"/>
        <v>5.0387044086013133E-2</v>
      </c>
      <c r="X36" s="2">
        <f t="shared" si="1"/>
        <v>-1.4724781810834011E-4</v>
      </c>
      <c r="Y36" s="2">
        <f t="shared" si="2"/>
        <v>-2.9874446785561198E-2</v>
      </c>
      <c r="Z36" s="2">
        <f t="shared" si="3"/>
        <v>8.1597111483463342E-4</v>
      </c>
    </row>
    <row r="37" spans="2:26" x14ac:dyDescent="0.4">
      <c r="B37" s="2">
        <v>10.792299999999999</v>
      </c>
      <c r="C37" s="2">
        <v>0.53029999999999999</v>
      </c>
      <c r="D37" s="2">
        <v>-0.315</v>
      </c>
      <c r="E37" s="2">
        <v>0.83476799999999995</v>
      </c>
      <c r="F37" s="2">
        <v>9.2270000000000008E-3</v>
      </c>
      <c r="G37" s="2">
        <v>4.5890000000000002E-3</v>
      </c>
      <c r="H37" s="2">
        <v>-3.6097999999999998E-2</v>
      </c>
      <c r="I37" s="2">
        <v>-9.7748000000000002E-2</v>
      </c>
      <c r="J37" s="2">
        <v>0.57579999999999998</v>
      </c>
      <c r="K37" s="2">
        <v>1</v>
      </c>
      <c r="L37" s="2">
        <v>0.36120000000000002</v>
      </c>
      <c r="M37" s="2">
        <v>38.7087</v>
      </c>
      <c r="N37" s="2">
        <f t="shared" si="4"/>
        <v>0.77974122499999932</v>
      </c>
      <c r="O37" s="2">
        <f t="shared" si="5"/>
        <v>0.44722057959874961</v>
      </c>
      <c r="P37" s="2">
        <f>IF(ABS(B37)&lt;MainWing.xwimp!$A$3,MainWing.xwimp!$L$2*ABS(B37)+MainWing.xwimp!$M$2,
    IF(ABS(B37)&lt;MainWing.xwimp!$A$4,MainWing.xwimp!$L$3*ABS(B37)+MainWing.xwimp!$M$3,
        IF(ABS(B37)&lt;MainWing.xwimp!$A$5,MainWing.xwimp!$L$4*ABS(B37)+MainWing.xwimp!$M$4,
            IF(ABS(B37)&lt;MainWing.xwimp!$A$6,MainWing.xwimp!$L$5*ABS(B37)+MainWing.xwimp!$M$5,
                MainWing.xwimp!$L$6*ABS(B37)+MainWing.xwimp!$M$6
            )
        )
    )
)</f>
        <v>11.881257321225879</v>
      </c>
      <c r="Q37" s="2">
        <f t="shared" si="6"/>
        <v>0.1096622711232151</v>
      </c>
      <c r="R37" s="2">
        <f t="shared" si="7"/>
        <v>-3.880119708912101E-4</v>
      </c>
      <c r="S37" s="2">
        <f t="shared" si="8"/>
        <v>-8.6551925017583825E-2</v>
      </c>
      <c r="T37" s="2">
        <f t="shared" si="9"/>
        <v>2.3501626473560175E-2</v>
      </c>
      <c r="U37" s="2">
        <f t="shared" si="10"/>
        <v>-7.553080327480444E-4</v>
      </c>
      <c r="V37" s="2">
        <f t="shared" si="11"/>
        <v>-0.16848285393214502</v>
      </c>
      <c r="W37" s="2">
        <f t="shared" si="12"/>
        <v>4.5748504143706084E-2</v>
      </c>
      <c r="X37" s="2">
        <f t="shared" si="1"/>
        <v>-1.2274423450009904E-4</v>
      </c>
      <c r="Y37" s="2">
        <f t="shared" si="2"/>
        <v>-2.7379953655532849E-2</v>
      </c>
      <c r="Z37" s="2">
        <f t="shared" si="3"/>
        <v>7.0720523504790543E-4</v>
      </c>
    </row>
    <row r="38" spans="2:26" x14ac:dyDescent="0.4">
      <c r="B38" s="2">
        <v>11.885999999999999</v>
      </c>
      <c r="C38" s="2">
        <v>0.41849999999999998</v>
      </c>
      <c r="D38" s="2">
        <v>-0.19600000000000001</v>
      </c>
      <c r="E38" s="2">
        <v>0.78559299999999999</v>
      </c>
      <c r="F38" s="2">
        <v>9.9249999999999998E-3</v>
      </c>
      <c r="G38" s="2">
        <v>2.6849999999999999E-3</v>
      </c>
      <c r="H38" s="2">
        <v>-4.6940000000000003E-2</v>
      </c>
      <c r="I38" s="2">
        <v>-9.9165000000000003E-2</v>
      </c>
      <c r="J38" s="2">
        <v>0.62409999999999999</v>
      </c>
      <c r="K38" s="2">
        <v>1</v>
      </c>
      <c r="L38" s="2">
        <v>0.371</v>
      </c>
      <c r="M38" s="2">
        <v>9.2896999999999998</v>
      </c>
      <c r="N38" s="2">
        <f t="shared" si="4"/>
        <v>0.51885128000000003</v>
      </c>
      <c r="O38" s="2">
        <f t="shared" si="5"/>
        <v>0.24614304723200001</v>
      </c>
      <c r="P38" s="2">
        <f>IF(ABS(B38)&lt;MainWing.xwimp!$A$3,MainWing.xwimp!$L$2*ABS(B38)+MainWing.xwimp!$M$2,
    IF(ABS(B38)&lt;MainWing.xwimp!$A$4,MainWing.xwimp!$L$3*ABS(B38)+MainWing.xwimp!$M$3,
        IF(ABS(B38)&lt;MainWing.xwimp!$A$5,MainWing.xwimp!$L$4*ABS(B38)+MainWing.xwimp!$M$4,
            IF(ABS(B38)&lt;MainWing.xwimp!$A$6,MainWing.xwimp!$L$5*ABS(B38)+MainWing.xwimp!$M$5,
                MainWing.xwimp!$L$6*ABS(B38)+MainWing.xwimp!$M$6
            )
        )
    )
)</f>
        <v>11.631729852440408</v>
      </c>
      <c r="Q38" s="2">
        <f t="shared" si="6"/>
        <v>0.1096622711232151</v>
      </c>
      <c r="R38" s="2">
        <f t="shared" si="7"/>
        <v>-2.476057861148384E-4</v>
      </c>
      <c r="S38" s="2">
        <f t="shared" si="8"/>
        <v>-6.2172182308832605E-2</v>
      </c>
      <c r="T38" s="2">
        <f t="shared" si="9"/>
        <v>1.5872870728326518E-2</v>
      </c>
      <c r="U38" s="2">
        <f t="shared" si="10"/>
        <v>-5.4255464221964953E-4</v>
      </c>
      <c r="V38" s="2">
        <f t="shared" si="11"/>
        <v>-0.13623189771881514</v>
      </c>
      <c r="W38" s="2">
        <f t="shared" si="12"/>
        <v>3.4780688424671045E-2</v>
      </c>
      <c r="X38" s="2">
        <f t="shared" si="1"/>
        <v>-8.3757840286139191E-5</v>
      </c>
      <c r="Y38" s="2">
        <f t="shared" si="2"/>
        <v>-2.1031042116474434E-2</v>
      </c>
      <c r="Z38" s="2">
        <f t="shared" si="3"/>
        <v>4.8107109570769135E-4</v>
      </c>
    </row>
    <row r="39" spans="2:26" x14ac:dyDescent="0.4">
      <c r="B39" s="2">
        <v>12.687099999999999</v>
      </c>
      <c r="C39" s="2">
        <v>0.31859999999999999</v>
      </c>
      <c r="D39" s="2">
        <v>-0.26</v>
      </c>
      <c r="E39" s="2">
        <v>0.71536500000000003</v>
      </c>
      <c r="F39" s="2">
        <v>1.1393E-2</v>
      </c>
      <c r="G39" s="2">
        <v>3.2460000000000002E-3</v>
      </c>
      <c r="H39" s="2">
        <v>-5.2165000000000003E-2</v>
      </c>
      <c r="I39" s="2">
        <v>-0.100992</v>
      </c>
      <c r="J39" s="2">
        <v>0.67859999999999998</v>
      </c>
      <c r="K39" s="2">
        <v>1</v>
      </c>
      <c r="L39" s="2">
        <v>0.38679999999999998</v>
      </c>
      <c r="M39" s="2">
        <v>1.1272</v>
      </c>
      <c r="N39" s="2">
        <f t="shared" si="4"/>
        <v>0.29524540499999996</v>
      </c>
      <c r="O39" s="2">
        <f t="shared" si="5"/>
        <v>0.10881269401274998</v>
      </c>
      <c r="P39" s="2">
        <f>IF(ABS(B39)&lt;MainWing.xwimp!$A$3,MainWing.xwimp!$L$2*ABS(B39)+MainWing.xwimp!$M$2,
    IF(ABS(B39)&lt;MainWing.xwimp!$A$4,MainWing.xwimp!$L$3*ABS(B39)+MainWing.xwimp!$M$3,
        IF(ABS(B39)&lt;MainWing.xwimp!$A$5,MainWing.xwimp!$L$4*ABS(B39)+MainWing.xwimp!$M$4,
            IF(ABS(B39)&lt;MainWing.xwimp!$A$6,MainWing.xwimp!$L$5*ABS(B39)+MainWing.xwimp!$M$5,
                MainWing.xwimp!$L$6*ABS(B39)+MainWing.xwimp!$M$6
            )
        )
    )
)</f>
        <v>11.500999999999999</v>
      </c>
      <c r="Q39" s="2">
        <f t="shared" si="6"/>
        <v>0.1096622711232151</v>
      </c>
      <c r="R39" s="2">
        <f t="shared" si="7"/>
        <v>-1.3778989160065732E-4</v>
      </c>
      <c r="S39" s="2">
        <f t="shared" si="8"/>
        <v>-3.7361470447472754E-2</v>
      </c>
      <c r="T39" s="2">
        <f t="shared" si="9"/>
        <v>8.6818166820135864E-3</v>
      </c>
      <c r="U39" s="2">
        <f t="shared" si="10"/>
        <v>-3.2604033634747943E-4</v>
      </c>
      <c r="V39" s="2">
        <f t="shared" si="11"/>
        <v>-8.840522515566239E-2</v>
      </c>
      <c r="W39" s="2">
        <f t="shared" si="12"/>
        <v>2.0543034022514339E-2</v>
      </c>
      <c r="X39" s="2">
        <f t="shared" si="1"/>
        <v>-4.659400273075406E-5</v>
      </c>
      <c r="Y39" s="2">
        <f t="shared" si="2"/>
        <v>-1.26338763738909E-2</v>
      </c>
      <c r="Z39" s="2">
        <f t="shared" si="3"/>
        <v>2.1501208675539976E-4</v>
      </c>
    </row>
    <row r="40" spans="2:26" x14ac:dyDescent="0.4">
      <c r="B40" s="2">
        <v>13.175800000000001</v>
      </c>
      <c r="C40" s="2">
        <v>0.2298</v>
      </c>
      <c r="D40" s="2">
        <v>-0.88100000000000001</v>
      </c>
      <c r="E40" s="2">
        <v>0.57321500000000003</v>
      </c>
      <c r="F40" s="2">
        <v>1.5231E-2</v>
      </c>
      <c r="G40" s="2">
        <v>8.8140000000000007E-3</v>
      </c>
      <c r="H40" s="2">
        <v>-4.3768000000000001E-2</v>
      </c>
      <c r="I40" s="2">
        <v>-0.103978</v>
      </c>
      <c r="J40" s="2">
        <v>0.74590000000000001</v>
      </c>
      <c r="K40" s="2">
        <v>1</v>
      </c>
      <c r="L40" s="2">
        <v>0.4289</v>
      </c>
      <c r="M40" s="2">
        <v>0</v>
      </c>
      <c r="N40" s="2">
        <f t="shared" si="4"/>
        <v>0.13400154000000039</v>
      </c>
      <c r="O40" s="2">
        <f t="shared" si="5"/>
        <v>3.6743222268000107E-2</v>
      </c>
      <c r="P40" s="2">
        <f>IF(ABS(B40)&lt;MainWing.xwimp!$A$3,MainWing.xwimp!$L$2*ABS(B40)+MainWing.xwimp!$M$2,
    IF(ABS(B40)&lt;MainWing.xwimp!$A$4,MainWing.xwimp!$L$3*ABS(B40)+MainWing.xwimp!$M$3,
        IF(ABS(B40)&lt;MainWing.xwimp!$A$5,MainWing.xwimp!$L$4*ABS(B40)+MainWing.xwimp!$M$4,
            IF(ABS(B40)&lt;MainWing.xwimp!$A$6,MainWing.xwimp!$L$5*ABS(B40)+MainWing.xwimp!$M$5,
                MainWing.xwimp!$L$6*ABS(B40)+MainWing.xwimp!$M$6
            )
        )
    )
)</f>
        <v>11.500999999999999</v>
      </c>
      <c r="Q40" s="2">
        <f t="shared" si="6"/>
        <v>0.1096622711232151</v>
      </c>
      <c r="R40" s="2">
        <f t="shared" si="7"/>
        <v>-6.2538001805383564E-5</v>
      </c>
      <c r="S40" s="2">
        <f t="shared" si="8"/>
        <v>-1.7610238334182019E-2</v>
      </c>
      <c r="T40" s="2">
        <f t="shared" si="9"/>
        <v>3.2790024644829131E-3</v>
      </c>
      <c r="U40" s="2">
        <f t="shared" si="10"/>
        <v>-1.5367832049619884E-4</v>
      </c>
      <c r="V40" s="2">
        <f t="shared" si="11"/>
        <v>-4.3274677357886059E-2</v>
      </c>
      <c r="W40" s="2">
        <f t="shared" si="12"/>
        <v>8.0576861603731589E-3</v>
      </c>
      <c r="X40" s="2">
        <f t="shared" si="1"/>
        <v>-1.8417654040578905E-5</v>
      </c>
      <c r="Y40" s="2">
        <f t="shared" si="2"/>
        <v>-5.1862750303477726E-3</v>
      </c>
      <c r="Z40" s="2">
        <f t="shared" si="3"/>
        <v>-3.166828646632315E-6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78E1A-9CD2-44BF-9EA9-804C082B0D19}">
  <dimension ref="A1:M7"/>
  <sheetViews>
    <sheetView zoomScale="160" zoomScaleNormal="160" workbookViewId="0">
      <selection activeCell="F4" sqref="F4"/>
    </sheetView>
  </sheetViews>
  <sheetFormatPr defaultRowHeight="18.75" x14ac:dyDescent="0.4"/>
  <sheetData>
    <row r="1" spans="1:13" x14ac:dyDescent="0.4">
      <c r="A1" t="s">
        <v>26</v>
      </c>
      <c r="B1" t="s">
        <v>27</v>
      </c>
      <c r="L1" s="1" t="s">
        <v>44</v>
      </c>
      <c r="M1" s="1" t="s">
        <v>45</v>
      </c>
    </row>
    <row r="2" spans="1:13" x14ac:dyDescent="0.4">
      <c r="A2">
        <v>0</v>
      </c>
      <c r="B2">
        <v>0.88</v>
      </c>
      <c r="C2">
        <v>-0.28399999999999997</v>
      </c>
      <c r="D2">
        <v>1.464</v>
      </c>
      <c r="E2">
        <v>3.4950000000000001</v>
      </c>
      <c r="F2">
        <v>50</v>
      </c>
      <c r="G2">
        <v>24</v>
      </c>
      <c r="H2">
        <v>1</v>
      </c>
      <c r="I2">
        <v>0</v>
      </c>
      <c r="J2" t="s">
        <v>36</v>
      </c>
      <c r="K2" t="s">
        <v>36</v>
      </c>
      <c r="L2" s="1">
        <f t="array" ref="L2:M2">LINEST(D2:D3,A2:A3,TRUE,TRUE)</f>
        <v>1.9519177320733745</v>
      </c>
      <c r="M2" s="1">
        <v>1.4639999999999995</v>
      </c>
    </row>
    <row r="3" spans="1:13" x14ac:dyDescent="0.4">
      <c r="A3">
        <v>3.5979999999999999</v>
      </c>
      <c r="B3">
        <v>0.88</v>
      </c>
      <c r="C3">
        <v>-0.28399999999999997</v>
      </c>
      <c r="D3">
        <v>8.4870000000000001</v>
      </c>
      <c r="E3">
        <v>3.3069999999999999</v>
      </c>
      <c r="F3">
        <v>50</v>
      </c>
      <c r="G3">
        <v>24</v>
      </c>
      <c r="H3">
        <v>1</v>
      </c>
      <c r="I3">
        <v>0</v>
      </c>
      <c r="J3" t="s">
        <v>36</v>
      </c>
      <c r="K3" t="s">
        <v>36</v>
      </c>
      <c r="L3" s="1">
        <f t="array" ref="L3:M3">LINEST(D3:D4,A3:A4,TRUE,TRUE)</f>
        <v>0.58747542825049159</v>
      </c>
      <c r="M3" s="1">
        <v>6.3732634091547329</v>
      </c>
    </row>
    <row r="4" spans="1:13" x14ac:dyDescent="0.4">
      <c r="A4">
        <v>7.1589999999999998</v>
      </c>
      <c r="B4">
        <v>0.755</v>
      </c>
      <c r="C4">
        <v>-0.24399999999999999</v>
      </c>
      <c r="D4">
        <v>10.579000000000001</v>
      </c>
      <c r="E4">
        <v>3.117</v>
      </c>
      <c r="F4">
        <v>50</v>
      </c>
      <c r="G4">
        <v>24</v>
      </c>
      <c r="H4">
        <v>1</v>
      </c>
      <c r="I4">
        <v>0</v>
      </c>
      <c r="J4" t="s">
        <v>37</v>
      </c>
      <c r="K4" t="s">
        <v>37</v>
      </c>
      <c r="L4" s="1">
        <f t="array" ref="L4:M4">LINEST(D4:D5,A4:A5,TRUE,TRUE)</f>
        <v>0.37422272470322215</v>
      </c>
      <c r="M4" s="1">
        <v>7.8999395138496329</v>
      </c>
    </row>
    <row r="5" spans="1:13" x14ac:dyDescent="0.4">
      <c r="A5">
        <v>10.696999999999999</v>
      </c>
      <c r="B5">
        <v>0.54</v>
      </c>
      <c r="C5">
        <v>-0.17499999999999999</v>
      </c>
      <c r="D5">
        <v>11.903</v>
      </c>
      <c r="E5">
        <v>2.0099999999999998</v>
      </c>
      <c r="F5">
        <v>50</v>
      </c>
      <c r="G5">
        <v>12</v>
      </c>
      <c r="H5">
        <v>1</v>
      </c>
      <c r="I5">
        <v>0</v>
      </c>
      <c r="J5" t="s">
        <v>37</v>
      </c>
      <c r="K5" t="s">
        <v>37</v>
      </c>
      <c r="L5" s="1">
        <f t="array" ref="L5:M5">LINEST(D5:D6,A5:A6,TRUE,TRUE)</f>
        <v>-0.22814982973893347</v>
      </c>
      <c r="M5" s="1">
        <v>14.34351872871737</v>
      </c>
    </row>
    <row r="6" spans="1:13" x14ac:dyDescent="0.4">
      <c r="A6">
        <v>12.459</v>
      </c>
      <c r="B6">
        <v>0.36</v>
      </c>
      <c r="C6">
        <v>-0.11600000000000001</v>
      </c>
      <c r="D6">
        <v>11.500999999999999</v>
      </c>
      <c r="E6">
        <v>1.0409999999999999</v>
      </c>
      <c r="F6">
        <v>50</v>
      </c>
      <c r="G6">
        <v>6</v>
      </c>
      <c r="H6">
        <v>1</v>
      </c>
      <c r="I6">
        <v>0</v>
      </c>
      <c r="J6" t="s">
        <v>37</v>
      </c>
      <c r="K6" t="s">
        <v>37</v>
      </c>
      <c r="L6" s="1">
        <f t="array" ref="L6:M6">LINEST(D6:D7,A6:A7,TRUE,TRUE)</f>
        <v>0</v>
      </c>
      <c r="M6" s="1">
        <v>11.500999999999999</v>
      </c>
    </row>
    <row r="7" spans="1:13" x14ac:dyDescent="0.4">
      <c r="A7">
        <v>13.34</v>
      </c>
      <c r="B7">
        <v>0.2</v>
      </c>
      <c r="C7">
        <v>-6.5000000000000002E-2</v>
      </c>
      <c r="D7">
        <v>11.500999999999999</v>
      </c>
      <c r="E7">
        <v>0</v>
      </c>
      <c r="F7">
        <v>1</v>
      </c>
      <c r="G7">
        <v>1</v>
      </c>
      <c r="H7">
        <v>1</v>
      </c>
      <c r="I7">
        <v>0</v>
      </c>
      <c r="J7" t="s">
        <v>37</v>
      </c>
      <c r="K7" t="s">
        <v>37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6A70A-71D8-4CFF-9FE0-5AB4CD305E08}">
  <dimension ref="A1:M3"/>
  <sheetViews>
    <sheetView zoomScale="160" zoomScaleNormal="160" workbookViewId="0">
      <selection activeCell="E13" sqref="E13"/>
    </sheetView>
  </sheetViews>
  <sheetFormatPr defaultRowHeight="18.75" x14ac:dyDescent="0.4"/>
  <sheetData>
    <row r="1" spans="1:13" x14ac:dyDescent="0.4">
      <c r="A1" t="s">
        <v>39</v>
      </c>
      <c r="L1">
        <f>SUM(L2:L3)*2</f>
        <v>1.5264</v>
      </c>
      <c r="M1">
        <f>(ABS(MIN(A2:A3))+MAX(A2:A3))*2</f>
        <v>2.88</v>
      </c>
    </row>
    <row r="2" spans="1:13" x14ac:dyDescent="0.4">
      <c r="A2">
        <v>0</v>
      </c>
      <c r="B2">
        <v>0.53</v>
      </c>
      <c r="C2">
        <v>-0.15</v>
      </c>
      <c r="D2">
        <v>0</v>
      </c>
      <c r="E2">
        <v>-3.7</v>
      </c>
      <c r="F2">
        <v>1</v>
      </c>
      <c r="G2">
        <v>9</v>
      </c>
      <c r="H2">
        <v>1</v>
      </c>
      <c r="I2">
        <v>0</v>
      </c>
      <c r="J2" t="s">
        <v>38</v>
      </c>
      <c r="K2" t="s">
        <v>38</v>
      </c>
      <c r="L2">
        <f>IF(A2=0,0,IF(A2&lt;0,ABS(A2-A3)*AVERAGE(B2:B3),ABS(A1-A2)*AVERAGE(B1:B2)))</f>
        <v>0</v>
      </c>
    </row>
    <row r="3" spans="1:13" x14ac:dyDescent="0.4">
      <c r="A3">
        <v>1.44</v>
      </c>
      <c r="B3">
        <v>0.53</v>
      </c>
      <c r="C3">
        <v>-0.15</v>
      </c>
      <c r="D3">
        <v>0</v>
      </c>
      <c r="E3">
        <v>-3.7</v>
      </c>
      <c r="F3">
        <v>1</v>
      </c>
      <c r="G3">
        <v>1</v>
      </c>
      <c r="H3">
        <v>1</v>
      </c>
      <c r="I3">
        <v>0</v>
      </c>
      <c r="J3" t="s">
        <v>38</v>
      </c>
      <c r="K3" t="s">
        <v>38</v>
      </c>
      <c r="L3">
        <f>IF(A3=0,0,IF(A3&lt;0,ABS(A3-A4)*AVERAGE(B3:B4),ABS(A2-A3)*AVERAGE(B2:B3)))</f>
        <v>0.76319999999999999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8A0CB-3603-4F59-8B96-170C419777D4}">
  <dimension ref="A1:M3"/>
  <sheetViews>
    <sheetView zoomScale="160" zoomScaleNormal="160" workbookViewId="0">
      <selection activeCell="F14" sqref="F14"/>
    </sheetView>
  </sheetViews>
  <sheetFormatPr defaultRowHeight="18.75" x14ac:dyDescent="0.4"/>
  <sheetData>
    <row r="1" spans="1:13" x14ac:dyDescent="0.4">
      <c r="A1" t="s">
        <v>40</v>
      </c>
      <c r="L1">
        <f>SUM(L2:L3)</f>
        <v>0.63319999999999999</v>
      </c>
      <c r="M1">
        <f>(ABS(MIN(A2:A3))+MAX(A2:A3))</f>
        <v>0.8</v>
      </c>
    </row>
    <row r="2" spans="1:13" x14ac:dyDescent="0.4">
      <c r="A2">
        <v>0</v>
      </c>
      <c r="B2">
        <v>0.88500000000000001</v>
      </c>
      <c r="C2">
        <v>-0.309</v>
      </c>
      <c r="D2">
        <v>1.2999999999999999E-2</v>
      </c>
      <c r="E2">
        <v>0</v>
      </c>
      <c r="F2">
        <v>1</v>
      </c>
      <c r="G2">
        <v>8</v>
      </c>
      <c r="H2">
        <v>1</v>
      </c>
      <c r="I2">
        <v>0</v>
      </c>
      <c r="J2" t="s">
        <v>41</v>
      </c>
      <c r="K2" t="s">
        <v>41</v>
      </c>
      <c r="L2">
        <f>IF(A2=0,0,IF(A2&lt;0,ABS(A2-A3)*AVERAGE(B2:B3),ABS(A1-A2)*AVERAGE(B1:B2)))</f>
        <v>0</v>
      </c>
    </row>
    <row r="3" spans="1:13" x14ac:dyDescent="0.4">
      <c r="A3">
        <v>0.8</v>
      </c>
      <c r="B3">
        <v>0.69799999999999995</v>
      </c>
      <c r="C3">
        <v>-0.27900000000000003</v>
      </c>
      <c r="D3">
        <v>1.2999999999999999E-2</v>
      </c>
      <c r="E3">
        <v>0</v>
      </c>
      <c r="F3">
        <v>64</v>
      </c>
      <c r="G3">
        <v>6</v>
      </c>
      <c r="H3">
        <v>1</v>
      </c>
      <c r="I3">
        <v>0</v>
      </c>
      <c r="J3" t="s">
        <v>41</v>
      </c>
      <c r="K3" t="s">
        <v>41</v>
      </c>
      <c r="L3">
        <f>IF(A3=0,0,IF(A3&lt;0,ABS(A3-A4)*AVERAGE(B3:B4),ABS(A2-A3)*AVERAGE(B2:B3)))</f>
        <v>0.63319999999999999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C096A-1DFF-4D3F-A164-F4072493D2F8}">
  <dimension ref="A1:K44"/>
  <sheetViews>
    <sheetView topLeftCell="A12" zoomScale="87" zoomScaleNormal="87" workbookViewId="0">
      <selection activeCell="E29" sqref="E29"/>
    </sheetView>
  </sheetViews>
  <sheetFormatPr defaultColWidth="11.75" defaultRowHeight="18.75" x14ac:dyDescent="0.4"/>
  <cols>
    <col min="1" max="16384" width="11.75" style="8"/>
  </cols>
  <sheetData>
    <row r="1" spans="1:5" x14ac:dyDescent="0.4">
      <c r="A1" s="8" t="s">
        <v>110</v>
      </c>
    </row>
    <row r="2" spans="1:5" x14ac:dyDescent="0.4">
      <c r="B2" s="8" t="s">
        <v>111</v>
      </c>
      <c r="C2" s="8" t="s">
        <v>112</v>
      </c>
      <c r="D2" s="8" t="s">
        <v>113</v>
      </c>
    </row>
    <row r="3" spans="1:5" x14ac:dyDescent="0.4">
      <c r="B3" s="8" t="s">
        <v>111</v>
      </c>
      <c r="C3" s="8" t="s">
        <v>114</v>
      </c>
      <c r="D3" s="8" t="s">
        <v>113</v>
      </c>
      <c r="E3" s="8" t="s">
        <v>115</v>
      </c>
    </row>
    <row r="4" spans="1:5" x14ac:dyDescent="0.4">
      <c r="B4" s="8" t="s">
        <v>116</v>
      </c>
    </row>
    <row r="5" spans="1:5" x14ac:dyDescent="0.4">
      <c r="B5" s="8" t="s">
        <v>117</v>
      </c>
      <c r="C5" s="8" t="s">
        <v>114</v>
      </c>
      <c r="D5" s="8" t="s">
        <v>118</v>
      </c>
    </row>
    <row r="7" spans="1:5" x14ac:dyDescent="0.4">
      <c r="A7" s="8" t="s">
        <v>119</v>
      </c>
    </row>
    <row r="8" spans="1:5" x14ac:dyDescent="0.4">
      <c r="B8" s="8" t="s">
        <v>120</v>
      </c>
      <c r="C8" s="8" t="s">
        <v>112</v>
      </c>
    </row>
    <row r="9" spans="1:5" x14ac:dyDescent="0.4">
      <c r="B9" s="8" t="s">
        <v>121</v>
      </c>
    </row>
    <row r="10" spans="1:5" x14ac:dyDescent="0.4">
      <c r="B10" s="8" t="s">
        <v>122</v>
      </c>
    </row>
    <row r="11" spans="1:5" x14ac:dyDescent="0.4">
      <c r="B11" s="8" t="s">
        <v>123</v>
      </c>
    </row>
    <row r="12" spans="1:5" x14ac:dyDescent="0.4">
      <c r="B12" s="8" t="s">
        <v>124</v>
      </c>
      <c r="C12" s="8" t="s">
        <v>125</v>
      </c>
    </row>
    <row r="14" spans="1:5" x14ac:dyDescent="0.4">
      <c r="A14" s="8" t="s">
        <v>126</v>
      </c>
    </row>
    <row r="15" spans="1:5" x14ac:dyDescent="0.4">
      <c r="B15" s="8" t="s">
        <v>127</v>
      </c>
      <c r="C15" s="8">
        <v>98918.213000000003</v>
      </c>
      <c r="D15" s="8" t="s">
        <v>128</v>
      </c>
    </row>
    <row r="16" spans="1:5" x14ac:dyDescent="0.4">
      <c r="B16" s="8" t="s">
        <v>129</v>
      </c>
      <c r="C16" s="8">
        <v>2057000000</v>
      </c>
      <c r="D16" s="8" t="s">
        <v>130</v>
      </c>
    </row>
    <row r="17" spans="2:11" x14ac:dyDescent="0.4">
      <c r="B17" s="8" t="s">
        <v>131</v>
      </c>
      <c r="C17" s="8">
        <v>4.8099999999999997E-5</v>
      </c>
      <c r="D17" s="8" t="s">
        <v>128</v>
      </c>
      <c r="E17" s="8" t="s">
        <v>132</v>
      </c>
      <c r="F17" s="8" t="s">
        <v>130</v>
      </c>
    </row>
    <row r="18" spans="2:11" x14ac:dyDescent="0.4">
      <c r="B18" s="8" t="s">
        <v>133</v>
      </c>
      <c r="C18" s="8">
        <v>48960000</v>
      </c>
      <c r="D18" s="8" t="s">
        <v>134</v>
      </c>
    </row>
    <row r="19" spans="2:11" x14ac:dyDescent="0.4">
      <c r="B19" s="8" t="s">
        <v>135</v>
      </c>
      <c r="C19" s="8" t="s">
        <v>136</v>
      </c>
      <c r="D19" s="8" t="s">
        <v>137</v>
      </c>
      <c r="E19" s="8" t="s">
        <v>138</v>
      </c>
      <c r="F19" s="8">
        <v>0</v>
      </c>
      <c r="G19" s="8" t="s">
        <v>139</v>
      </c>
      <c r="H19" s="8">
        <v>0</v>
      </c>
      <c r="I19" s="8" t="s">
        <v>139</v>
      </c>
      <c r="J19" s="8">
        <v>0</v>
      </c>
      <c r="K19" s="8" t="s">
        <v>139</v>
      </c>
    </row>
    <row r="20" spans="2:11" x14ac:dyDescent="0.4">
      <c r="B20" s="8" t="s">
        <v>140</v>
      </c>
      <c r="C20" s="8" t="s">
        <v>141</v>
      </c>
      <c r="D20" s="8" t="s">
        <v>127</v>
      </c>
      <c r="E20" s="8">
        <v>-185.42099999999999</v>
      </c>
      <c r="F20" s="8" t="s">
        <v>139</v>
      </c>
      <c r="G20" s="8">
        <v>-0.01</v>
      </c>
      <c r="H20" s="8" t="s">
        <v>139</v>
      </c>
      <c r="I20" s="8">
        <v>-239.91499999999999</v>
      </c>
      <c r="J20" s="8" t="s">
        <v>139</v>
      </c>
    </row>
    <row r="21" spans="2:11" x14ac:dyDescent="0.4">
      <c r="B21" s="8" t="s">
        <v>142</v>
      </c>
      <c r="C21" s="8" t="s">
        <v>143</v>
      </c>
    </row>
    <row r="22" spans="2:11" x14ac:dyDescent="0.4">
      <c r="B22" s="8" t="s">
        <v>144</v>
      </c>
      <c r="C22" s="8">
        <v>5306.8509999999997</v>
      </c>
      <c r="D22" s="8" t="s">
        <v>139</v>
      </c>
    </row>
    <row r="23" spans="2:11" x14ac:dyDescent="0.4">
      <c r="B23" s="8" t="s">
        <v>145</v>
      </c>
      <c r="C23" s="8">
        <v>26394.721000000001</v>
      </c>
      <c r="D23" s="8" t="s">
        <v>139</v>
      </c>
    </row>
    <row r="24" spans="2:11" x14ac:dyDescent="0.4">
      <c r="B24" s="8" t="s">
        <v>146</v>
      </c>
      <c r="C24" s="8">
        <v>2144.4879999999998</v>
      </c>
      <c r="D24" s="8" t="s">
        <v>139</v>
      </c>
    </row>
    <row r="25" spans="2:11" x14ac:dyDescent="0.4">
      <c r="B25" s="8" t="s">
        <v>147</v>
      </c>
      <c r="C25" s="8" t="s">
        <v>141</v>
      </c>
      <c r="D25" s="8" t="s">
        <v>148</v>
      </c>
      <c r="E25" s="8" t="s">
        <v>78</v>
      </c>
      <c r="F25" s="8" t="s">
        <v>140</v>
      </c>
      <c r="G25" s="8" t="s">
        <v>141</v>
      </c>
      <c r="H25" s="8" t="s">
        <v>127</v>
      </c>
      <c r="I25" s="8" t="s">
        <v>149</v>
      </c>
      <c r="J25" s="8" t="s">
        <v>150</v>
      </c>
    </row>
    <row r="26" spans="2:11" x14ac:dyDescent="0.4">
      <c r="B26" s="8" t="s">
        <v>151</v>
      </c>
      <c r="C26" s="8">
        <v>1129000000000</v>
      </c>
    </row>
    <row r="27" spans="2:11" x14ac:dyDescent="0.4">
      <c r="B27" s="8" t="s">
        <v>152</v>
      </c>
      <c r="C27" s="8">
        <v>-2718000</v>
      </c>
    </row>
    <row r="28" spans="2:11" x14ac:dyDescent="0.4">
      <c r="B28" s="8" t="s">
        <v>153</v>
      </c>
      <c r="C28" s="8">
        <v>-7875000000</v>
      </c>
    </row>
    <row r="29" spans="2:11" x14ac:dyDescent="0.4">
      <c r="B29" s="8" t="s">
        <v>154</v>
      </c>
      <c r="C29" s="8">
        <v>-2718000</v>
      </c>
    </row>
    <row r="30" spans="2:11" x14ac:dyDescent="0.4">
      <c r="B30" s="8" t="s">
        <v>155</v>
      </c>
      <c r="C30" s="8">
        <v>77800000000</v>
      </c>
    </row>
    <row r="31" spans="2:11" x14ac:dyDescent="0.4">
      <c r="B31" s="8" t="s">
        <v>156</v>
      </c>
      <c r="C31" s="8">
        <v>163200</v>
      </c>
    </row>
    <row r="32" spans="2:11" x14ac:dyDescent="0.4">
      <c r="B32" s="8" t="s">
        <v>157</v>
      </c>
      <c r="C32" s="8">
        <v>-7875000000</v>
      </c>
    </row>
    <row r="33" spans="2:10" x14ac:dyDescent="0.4">
      <c r="B33" s="8" t="s">
        <v>158</v>
      </c>
      <c r="C33" s="8">
        <v>163200</v>
      </c>
    </row>
    <row r="34" spans="2:10" x14ac:dyDescent="0.4">
      <c r="B34" s="8" t="s">
        <v>159</v>
      </c>
      <c r="C34" s="8">
        <v>1186000000000</v>
      </c>
    </row>
    <row r="35" spans="2:10" x14ac:dyDescent="0.4">
      <c r="B35" s="8" t="s">
        <v>147</v>
      </c>
      <c r="C35" s="8" t="s">
        <v>141</v>
      </c>
      <c r="D35" s="8" t="s">
        <v>148</v>
      </c>
      <c r="E35" s="8" t="s">
        <v>78</v>
      </c>
      <c r="F35" s="8" t="s">
        <v>160</v>
      </c>
      <c r="G35" s="8" t="s">
        <v>149</v>
      </c>
      <c r="H35" s="8" t="s">
        <v>150</v>
      </c>
    </row>
    <row r="36" spans="2:10" x14ac:dyDescent="0.4">
      <c r="B36" s="8" t="s">
        <v>151</v>
      </c>
      <c r="C36" s="8">
        <v>1134000000000</v>
      </c>
      <c r="E36" s="8">
        <f>C36*10^(-9)</f>
        <v>1134</v>
      </c>
      <c r="H36" s="8" t="s">
        <v>161</v>
      </c>
      <c r="I36" s="8" t="s">
        <v>162</v>
      </c>
      <c r="J36" s="8" t="s">
        <v>163</v>
      </c>
    </row>
    <row r="37" spans="2:10" x14ac:dyDescent="0.4">
      <c r="B37" s="8" t="s">
        <v>152</v>
      </c>
      <c r="C37" s="8">
        <v>-2899000</v>
      </c>
      <c r="E37" s="8">
        <f t="shared" ref="E37:E43" si="0">C37*10^(-9)</f>
        <v>-2.8990000000000001E-3</v>
      </c>
      <c r="G37" s="8" t="s">
        <v>164</v>
      </c>
      <c r="H37" s="1">
        <f>-(-E36+E44+SQRT(E36*E36-2*E36*E44+E44*E44+4*E38*E38))/(2*E38)</f>
        <v>5.2156440608021226</v>
      </c>
      <c r="I37" s="1">
        <v>0</v>
      </c>
      <c r="J37" s="1">
        <f>-(-E36+E44-SQRT(E36*E36-2*E36*E44+E44*E44+4*E38*E38))/(2*E38)</f>
        <v>-0.19173087510231257</v>
      </c>
    </row>
    <row r="38" spans="2:10" x14ac:dyDescent="0.4">
      <c r="B38" s="8" t="s">
        <v>153</v>
      </c>
      <c r="C38" s="8">
        <v>-12280000000</v>
      </c>
      <c r="E38" s="8">
        <f t="shared" si="0"/>
        <v>-12.280000000000001</v>
      </c>
      <c r="G38" s="8" t="s">
        <v>165</v>
      </c>
      <c r="H38" s="1">
        <v>0</v>
      </c>
      <c r="I38" s="1">
        <v>1</v>
      </c>
      <c r="J38" s="1">
        <v>0</v>
      </c>
    </row>
    <row r="39" spans="2:10" x14ac:dyDescent="0.4">
      <c r="B39" s="8" t="s">
        <v>154</v>
      </c>
      <c r="C39" s="8">
        <v>-2899000</v>
      </c>
      <c r="E39" s="8">
        <f t="shared" si="0"/>
        <v>-2.8990000000000001E-3</v>
      </c>
      <c r="G39" s="8" t="s">
        <v>166</v>
      </c>
      <c r="H39" s="1">
        <v>1</v>
      </c>
      <c r="I39" s="1">
        <v>0</v>
      </c>
      <c r="J39" s="1">
        <v>1</v>
      </c>
    </row>
    <row r="40" spans="2:10" x14ac:dyDescent="0.4">
      <c r="B40" s="8" t="s">
        <v>155</v>
      </c>
      <c r="C40" s="8">
        <v>86890000000</v>
      </c>
      <c r="E40" s="8">
        <f t="shared" si="0"/>
        <v>86.89</v>
      </c>
      <c r="H40" s="1"/>
      <c r="I40" s="1"/>
      <c r="J40" s="1"/>
    </row>
    <row r="41" spans="2:10" x14ac:dyDescent="0.4">
      <c r="B41" s="8" t="s">
        <v>156</v>
      </c>
      <c r="C41" s="8">
        <v>-71000.22</v>
      </c>
      <c r="E41" s="8">
        <f t="shared" si="0"/>
        <v>-7.1000220000000006E-5</v>
      </c>
      <c r="G41" s="8" t="s">
        <v>167</v>
      </c>
      <c r="H41" s="1">
        <f>(1/2)*(-SQRT(E36*E36-2*E36*E44+E44*E44+4*E38*E38)+E36+E44)</f>
        <v>1131.6455448537436</v>
      </c>
      <c r="I41" s="1">
        <f>E40</f>
        <v>86.89</v>
      </c>
      <c r="J41" s="1">
        <f>(1/2)*(SQRT(E36*E36-2*E36*E44+E44*E44+4*E38*E38)+E36+E44)</f>
        <v>1198.0481090666501</v>
      </c>
    </row>
    <row r="42" spans="2:10" x14ac:dyDescent="0.4">
      <c r="B42" s="8" t="s">
        <v>157</v>
      </c>
      <c r="C42" s="8">
        <v>-12280000000</v>
      </c>
      <c r="E42" s="8">
        <f t="shared" si="0"/>
        <v>-12.280000000000001</v>
      </c>
      <c r="G42" s="8" t="s">
        <v>168</v>
      </c>
      <c r="H42" s="1"/>
      <c r="I42" s="1">
        <f>DEGREES(ATAN(J37/J39))</f>
        <v>-10.853653101445884</v>
      </c>
      <c r="J42" s="1"/>
    </row>
    <row r="43" spans="2:10" x14ac:dyDescent="0.4">
      <c r="B43" s="8" t="s">
        <v>158</v>
      </c>
      <c r="C43" s="8">
        <v>-71000.22</v>
      </c>
      <c r="E43" s="8">
        <f t="shared" si="0"/>
        <v>-7.1000220000000006E-5</v>
      </c>
    </row>
    <row r="44" spans="2:10" x14ac:dyDescent="0.4">
      <c r="B44" s="8" t="s">
        <v>159</v>
      </c>
      <c r="C44" s="8">
        <v>1190000000000</v>
      </c>
      <c r="E44" s="8">
        <f>C44*10^(-9)+(C15*10^-3)*(I20*10^(-3))^2</f>
        <v>1195.6936539203937</v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Specification</vt:lpstr>
      <vt:lpstr>MainWing_a=1.50_v=9.60ms.txt</vt:lpstr>
      <vt:lpstr>MainWing.xwimp</vt:lpstr>
      <vt:lpstr>Elevator.xwimp</vt:lpstr>
      <vt:lpstr>Fin.xwimp</vt:lpstr>
      <vt:lpstr>Properties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2021-06-15T05:30:28Z</dcterms:created>
  <dcterms:modified xsi:type="dcterms:W3CDTF">2021-06-15T05:30:39Z</dcterms:modified>
</cp:coreProperties>
</file>